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683A5E34-0DD8-4B1B-9EB6-704F71102D64}" xr6:coauthVersionLast="43" xr6:coauthVersionMax="43" xr10:uidLastSave="{00000000-0000-0000-0000-000000000000}"/>
  <bookViews>
    <workbookView xWindow="-120" yWindow="-120" windowWidth="30960" windowHeight="16920" xr2:uid="{00000000-000D-0000-FFFF-FFFF00000000}"/>
  </bookViews>
  <sheets>
    <sheet name="Panorama Demographics" sheetId="1" r:id="rId1"/>
    <sheet name="US_Totals" sheetId="4" state="hidden" r:id="rId2"/>
    <sheet name="Raw Data" sheetId="2" state="hidden" r:id="rId3"/>
  </sheets>
  <definedNames>
    <definedName name="_xlnm.Print_Area" localSheetId="0">'Panorama Demographics'!$A$1:$I$235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Q71" i="2" l="1"/>
  <c r="B6" i="4" l="1"/>
  <c r="B7" i="4"/>
  <c r="B7" i="1"/>
  <c r="B6" i="1"/>
  <c r="C6" i="1" s="1"/>
  <c r="D7" i="1" l="1"/>
  <c r="G15" i="1"/>
  <c r="B5" i="1"/>
  <c r="B134" i="4"/>
  <c r="B131" i="1"/>
  <c r="B181" i="1"/>
  <c r="B121" i="1"/>
  <c r="B61" i="1"/>
  <c r="B163" i="4"/>
  <c r="B164" i="4"/>
  <c r="B162" i="4"/>
  <c r="B161" i="4"/>
  <c r="G157" i="4"/>
  <c r="G156" i="4"/>
  <c r="G155" i="4"/>
  <c r="G154" i="4"/>
  <c r="G236" i="4"/>
  <c r="G235" i="4"/>
  <c r="G234" i="4"/>
  <c r="G233" i="4"/>
  <c r="G232" i="4"/>
  <c r="B232" i="4"/>
  <c r="B231" i="4"/>
  <c r="B230" i="4"/>
  <c r="G229" i="4"/>
  <c r="B229" i="4"/>
  <c r="G228" i="4"/>
  <c r="B228" i="4"/>
  <c r="G227" i="4"/>
  <c r="B227" i="4"/>
  <c r="G226" i="4"/>
  <c r="B226" i="4"/>
  <c r="G225" i="4"/>
  <c r="B225" i="4"/>
  <c r="G224" i="4"/>
  <c r="B224" i="4"/>
  <c r="B223" i="4"/>
  <c r="I221" i="4"/>
  <c r="I220" i="4"/>
  <c r="B220" i="4"/>
  <c r="I219" i="4"/>
  <c r="B219" i="4"/>
  <c r="I218" i="4"/>
  <c r="B218" i="4"/>
  <c r="I217" i="4"/>
  <c r="B217" i="4"/>
  <c r="I216" i="4"/>
  <c r="B216" i="4"/>
  <c r="I215" i="4"/>
  <c r="B215" i="4"/>
  <c r="I214" i="4"/>
  <c r="B214" i="4"/>
  <c r="I213" i="4"/>
  <c r="B213" i="4"/>
  <c r="I212" i="4"/>
  <c r="B212" i="4"/>
  <c r="I211" i="4"/>
  <c r="B211" i="4"/>
  <c r="I210" i="4"/>
  <c r="B210" i="4"/>
  <c r="I209" i="4"/>
  <c r="B209" i="4"/>
  <c r="I208" i="4"/>
  <c r="B208" i="4"/>
  <c r="I207" i="4"/>
  <c r="B207" i="4"/>
  <c r="I206" i="4"/>
  <c r="B206" i="4"/>
  <c r="I205" i="4"/>
  <c r="B205" i="4"/>
  <c r="I204" i="4"/>
  <c r="B204" i="4"/>
  <c r="I203" i="4"/>
  <c r="I202" i="4"/>
  <c r="I201" i="4"/>
  <c r="B201" i="4"/>
  <c r="I200" i="4"/>
  <c r="B200" i="4"/>
  <c r="I199" i="4"/>
  <c r="I198" i="4"/>
  <c r="I197" i="4"/>
  <c r="D197" i="4"/>
  <c r="I196" i="4"/>
  <c r="D196" i="4"/>
  <c r="D195" i="4"/>
  <c r="D194" i="4"/>
  <c r="I193" i="4"/>
  <c r="D193" i="4"/>
  <c r="I192" i="4"/>
  <c r="D192" i="4"/>
  <c r="I191" i="4"/>
  <c r="D191" i="4"/>
  <c r="I190" i="4"/>
  <c r="D190" i="4"/>
  <c r="I189" i="4"/>
  <c r="D189" i="4"/>
  <c r="I188" i="4"/>
  <c r="D188" i="4"/>
  <c r="G170" i="4"/>
  <c r="B170" i="4"/>
  <c r="G168" i="4"/>
  <c r="B168" i="4"/>
  <c r="G167" i="4"/>
  <c r="B167" i="4"/>
  <c r="G166" i="4"/>
  <c r="B166" i="4"/>
  <c r="G165" i="4"/>
  <c r="B165" i="4"/>
  <c r="G164" i="4"/>
  <c r="G163" i="4"/>
  <c r="G162" i="4"/>
  <c r="G161" i="4"/>
  <c r="G160" i="4"/>
  <c r="B160" i="4"/>
  <c r="G159" i="4"/>
  <c r="G158" i="4"/>
  <c r="B157" i="4"/>
  <c r="B156" i="4"/>
  <c r="B155" i="4"/>
  <c r="B154" i="4"/>
  <c r="G153" i="4"/>
  <c r="B153" i="4"/>
  <c r="B152" i="4"/>
  <c r="B151" i="4"/>
  <c r="G150" i="4"/>
  <c r="B150" i="4"/>
  <c r="G149" i="4"/>
  <c r="B149" i="4"/>
  <c r="G148" i="4"/>
  <c r="G147" i="4"/>
  <c r="G146" i="4"/>
  <c r="G145" i="4"/>
  <c r="G144" i="4"/>
  <c r="G143" i="4"/>
  <c r="G142" i="4"/>
  <c r="G141" i="4"/>
  <c r="G138" i="4"/>
  <c r="G137" i="4"/>
  <c r="G136" i="4"/>
  <c r="G135" i="4"/>
  <c r="G134" i="4"/>
  <c r="G133" i="4"/>
  <c r="B133" i="4"/>
  <c r="G132" i="4"/>
  <c r="B132" i="4"/>
  <c r="G131" i="4"/>
  <c r="B131" i="4"/>
  <c r="G130" i="4"/>
  <c r="G129" i="4"/>
  <c r="B128" i="4"/>
  <c r="G117" i="4"/>
  <c r="G116" i="4"/>
  <c r="G115" i="4"/>
  <c r="G114" i="4"/>
  <c r="B114" i="4"/>
  <c r="G113" i="4"/>
  <c r="B113" i="4"/>
  <c r="G112" i="4"/>
  <c r="B112" i="4"/>
  <c r="G111" i="4"/>
  <c r="B111" i="4"/>
  <c r="G110" i="4"/>
  <c r="B110" i="4"/>
  <c r="G109" i="4"/>
  <c r="B109" i="4"/>
  <c r="G108" i="4"/>
  <c r="B108" i="4"/>
  <c r="G107" i="4"/>
  <c r="G106" i="4"/>
  <c r="G105" i="4"/>
  <c r="B105" i="4"/>
  <c r="G104" i="4"/>
  <c r="G103" i="4"/>
  <c r="B103" i="4"/>
  <c r="G102" i="4"/>
  <c r="B102" i="4"/>
  <c r="B101" i="4"/>
  <c r="G95" i="4"/>
  <c r="G94" i="4"/>
  <c r="G93" i="4"/>
  <c r="G92" i="4"/>
  <c r="G91" i="4"/>
  <c r="B91" i="4"/>
  <c r="G90" i="4"/>
  <c r="B90" i="4"/>
  <c r="G89" i="4"/>
  <c r="B89" i="4"/>
  <c r="G88" i="4"/>
  <c r="B88" i="4"/>
  <c r="G87" i="4"/>
  <c r="B87" i="4"/>
  <c r="B86" i="4"/>
  <c r="B85" i="4"/>
  <c r="G84" i="4"/>
  <c r="B84" i="4"/>
  <c r="G83" i="4"/>
  <c r="B83" i="4"/>
  <c r="G82" i="4"/>
  <c r="B80" i="4"/>
  <c r="B79" i="4"/>
  <c r="G78" i="4"/>
  <c r="B78" i="4"/>
  <c r="G77" i="4"/>
  <c r="B77" i="4"/>
  <c r="G76" i="4"/>
  <c r="B76" i="4"/>
  <c r="G75" i="4"/>
  <c r="B75" i="4"/>
  <c r="G74" i="4"/>
  <c r="G73" i="4"/>
  <c r="G72" i="4"/>
  <c r="B72" i="4"/>
  <c r="G71" i="4"/>
  <c r="B71" i="4"/>
  <c r="G68" i="4"/>
  <c r="H68" i="4" s="1"/>
  <c r="B68" i="4"/>
  <c r="G57" i="4"/>
  <c r="G56" i="4"/>
  <c r="B56" i="4"/>
  <c r="G55" i="4"/>
  <c r="G54" i="4"/>
  <c r="B54" i="4"/>
  <c r="G53" i="4"/>
  <c r="G52" i="4"/>
  <c r="B52" i="4"/>
  <c r="G51" i="4"/>
  <c r="B51" i="4"/>
  <c r="G50" i="4"/>
  <c r="B50" i="4"/>
  <c r="G49" i="4"/>
  <c r="B49" i="4"/>
  <c r="G48" i="4"/>
  <c r="B48" i="4"/>
  <c r="G47" i="4"/>
  <c r="B47" i="4"/>
  <c r="G46" i="4"/>
  <c r="G45" i="4"/>
  <c r="G44" i="4"/>
  <c r="G43" i="4"/>
  <c r="G42" i="4"/>
  <c r="B42" i="4"/>
  <c r="G41" i="4"/>
  <c r="B41" i="4"/>
  <c r="G40" i="4"/>
  <c r="B40" i="4"/>
  <c r="G39" i="4"/>
  <c r="B39" i="4"/>
  <c r="G38" i="4"/>
  <c r="B37" i="4"/>
  <c r="G35" i="4"/>
  <c r="B35" i="4"/>
  <c r="G34" i="4"/>
  <c r="B34" i="4"/>
  <c r="G33" i="4"/>
  <c r="B33" i="4"/>
  <c r="G32" i="4"/>
  <c r="G31" i="4"/>
  <c r="G30" i="4"/>
  <c r="B30" i="4"/>
  <c r="G29" i="4"/>
  <c r="B29" i="4"/>
  <c r="G28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B19" i="4"/>
  <c r="B18" i="4"/>
  <c r="G17" i="4"/>
  <c r="B17" i="4"/>
  <c r="G16" i="4"/>
  <c r="G15" i="4"/>
  <c r="G14" i="4"/>
  <c r="B14" i="4"/>
  <c r="G13" i="4"/>
  <c r="B13" i="4"/>
  <c r="G12" i="4"/>
  <c r="B12" i="4"/>
  <c r="G11" i="4"/>
  <c r="B11" i="4"/>
  <c r="G10" i="4"/>
  <c r="B10" i="4"/>
  <c r="G5" i="4"/>
  <c r="H5" i="4" s="1"/>
  <c r="B5" i="4"/>
  <c r="B185" i="4"/>
  <c r="B125" i="4"/>
  <c r="B65" i="4"/>
  <c r="B142" i="4"/>
  <c r="H24" i="4"/>
  <c r="G233" i="1"/>
  <c r="G232" i="1"/>
  <c r="G231" i="1"/>
  <c r="I231" i="1" s="1"/>
  <c r="G230" i="1"/>
  <c r="I230" i="1" s="1"/>
  <c r="G229" i="1"/>
  <c r="I229" i="1" s="1"/>
  <c r="G226" i="1"/>
  <c r="G225" i="1"/>
  <c r="I225" i="1" s="1"/>
  <c r="G224" i="1"/>
  <c r="I224" i="1" s="1"/>
  <c r="G223" i="1"/>
  <c r="G222" i="1"/>
  <c r="G221" i="1"/>
  <c r="I221" i="1" s="1"/>
  <c r="B229" i="1"/>
  <c r="D229" i="1" s="1"/>
  <c r="B228" i="1"/>
  <c r="D228" i="1" s="1"/>
  <c r="B227" i="1"/>
  <c r="B226" i="1"/>
  <c r="B225" i="1"/>
  <c r="D225" i="1" s="1"/>
  <c r="B224" i="1"/>
  <c r="D224" i="1" s="1"/>
  <c r="B223" i="1"/>
  <c r="B222" i="1"/>
  <c r="B221" i="1"/>
  <c r="D221" i="1" s="1"/>
  <c r="B220" i="1"/>
  <c r="D220" i="1" s="1"/>
  <c r="B213" i="1"/>
  <c r="B217" i="1"/>
  <c r="B216" i="1"/>
  <c r="B215" i="1"/>
  <c r="B214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198" i="1"/>
  <c r="B197" i="1"/>
  <c r="C207" i="1" s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0" i="1"/>
  <c r="I189" i="1"/>
  <c r="I188" i="1"/>
  <c r="I187" i="1"/>
  <c r="I186" i="1"/>
  <c r="I185" i="1"/>
  <c r="D194" i="1"/>
  <c r="D193" i="1"/>
  <c r="D192" i="1"/>
  <c r="D191" i="1"/>
  <c r="D190" i="1"/>
  <c r="D189" i="1"/>
  <c r="D188" i="1"/>
  <c r="D187" i="1"/>
  <c r="D186" i="1"/>
  <c r="D185" i="1"/>
  <c r="B182" i="1"/>
  <c r="B161" i="1"/>
  <c r="B160" i="1"/>
  <c r="B159" i="1"/>
  <c r="B158" i="1"/>
  <c r="B162" i="1"/>
  <c r="B163" i="1"/>
  <c r="B164" i="1"/>
  <c r="B165" i="1"/>
  <c r="B167" i="1"/>
  <c r="D167" i="1" s="1"/>
  <c r="B157" i="1"/>
  <c r="G153" i="1"/>
  <c r="G154" i="1"/>
  <c r="G152" i="1"/>
  <c r="G151" i="1"/>
  <c r="G150" i="1"/>
  <c r="G163" i="1"/>
  <c r="G162" i="1"/>
  <c r="G161" i="1"/>
  <c r="G160" i="1"/>
  <c r="G159" i="1"/>
  <c r="G158" i="1"/>
  <c r="G157" i="1"/>
  <c r="G156" i="1"/>
  <c r="G155" i="1"/>
  <c r="G164" i="1"/>
  <c r="G165" i="1"/>
  <c r="G167" i="1"/>
  <c r="B154" i="1"/>
  <c r="B153" i="1"/>
  <c r="B152" i="1"/>
  <c r="B151" i="1"/>
  <c r="B150" i="1"/>
  <c r="B149" i="1"/>
  <c r="B148" i="1"/>
  <c r="B147" i="1"/>
  <c r="B146" i="1"/>
  <c r="G147" i="1"/>
  <c r="G146" i="1"/>
  <c r="G145" i="1"/>
  <c r="G144" i="1"/>
  <c r="G143" i="1"/>
  <c r="G142" i="1"/>
  <c r="G141" i="1"/>
  <c r="G140" i="1"/>
  <c r="G139" i="1"/>
  <c r="G138" i="1"/>
  <c r="G135" i="1"/>
  <c r="G134" i="1"/>
  <c r="G133" i="1"/>
  <c r="G132" i="1"/>
  <c r="G131" i="1"/>
  <c r="G130" i="1"/>
  <c r="G129" i="1"/>
  <c r="G128" i="1"/>
  <c r="G127" i="1"/>
  <c r="G126" i="1"/>
  <c r="B122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B111" i="1"/>
  <c r="D111" i="1" s="1"/>
  <c r="B110" i="1"/>
  <c r="D110" i="1" s="1"/>
  <c r="B109" i="1"/>
  <c r="B108" i="1"/>
  <c r="B107" i="1"/>
  <c r="D107" i="1" s="1"/>
  <c r="B106" i="1"/>
  <c r="D106" i="1" s="1"/>
  <c r="B105" i="1"/>
  <c r="B102" i="1"/>
  <c r="D102" i="1" s="1"/>
  <c r="B100" i="1"/>
  <c r="D100" i="1" s="1"/>
  <c r="B98" i="1"/>
  <c r="B99" i="1"/>
  <c r="G92" i="1"/>
  <c r="G91" i="1"/>
  <c r="G90" i="1"/>
  <c r="G89" i="1"/>
  <c r="G88" i="1"/>
  <c r="G87" i="1"/>
  <c r="G86" i="1"/>
  <c r="G85" i="1"/>
  <c r="G84" i="1"/>
  <c r="G81" i="1"/>
  <c r="G80" i="1"/>
  <c r="G79" i="1"/>
  <c r="B89" i="1"/>
  <c r="B88" i="1"/>
  <c r="B87" i="1"/>
  <c r="B86" i="1"/>
  <c r="B85" i="1"/>
  <c r="B84" i="1"/>
  <c r="B83" i="1"/>
  <c r="B82" i="1"/>
  <c r="B80" i="1"/>
  <c r="D80" i="1" s="1"/>
  <c r="G75" i="1"/>
  <c r="G74" i="1"/>
  <c r="G73" i="1"/>
  <c r="G72" i="1"/>
  <c r="G71" i="1"/>
  <c r="G70" i="1"/>
  <c r="G69" i="1"/>
  <c r="G68" i="1"/>
  <c r="I68" i="1" s="1"/>
  <c r="B77" i="1"/>
  <c r="B76" i="1"/>
  <c r="B75" i="1"/>
  <c r="B74" i="1"/>
  <c r="B73" i="1"/>
  <c r="B72" i="1"/>
  <c r="B69" i="1"/>
  <c r="B68" i="1"/>
  <c r="G65" i="1"/>
  <c r="H65" i="1" s="1"/>
  <c r="B65" i="1"/>
  <c r="B62" i="1"/>
  <c r="G5" i="1"/>
  <c r="H5" i="1" s="1"/>
  <c r="B35" i="1"/>
  <c r="D35" i="1" s="1"/>
  <c r="B34" i="1"/>
  <c r="D34" i="1" s="1"/>
  <c r="B33" i="1"/>
  <c r="D33" i="1" s="1"/>
  <c r="B53" i="1"/>
  <c r="B52" i="1"/>
  <c r="B51" i="1"/>
  <c r="B50" i="1"/>
  <c r="B49" i="1"/>
  <c r="B48" i="1"/>
  <c r="B47" i="1"/>
  <c r="B4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B41" i="1"/>
  <c r="B40" i="1"/>
  <c r="B39" i="1"/>
  <c r="B38" i="1"/>
  <c r="B37" i="1"/>
  <c r="G33" i="1"/>
  <c r="G32" i="1"/>
  <c r="G31" i="1"/>
  <c r="G30" i="1"/>
  <c r="G29" i="1"/>
  <c r="G28" i="1"/>
  <c r="G27" i="1"/>
  <c r="G26" i="1"/>
  <c r="G23" i="1"/>
  <c r="G22" i="1"/>
  <c r="G21" i="1"/>
  <c r="G20" i="1"/>
  <c r="G19" i="1"/>
  <c r="G18" i="1"/>
  <c r="G14" i="1"/>
  <c r="G13" i="1"/>
  <c r="G12" i="1"/>
  <c r="G11" i="1"/>
  <c r="G10" i="1"/>
  <c r="G9" i="1"/>
  <c r="G8" i="1"/>
  <c r="B30" i="1"/>
  <c r="B29" i="1"/>
  <c r="B25" i="1"/>
  <c r="B24" i="1"/>
  <c r="B23" i="1"/>
  <c r="B22" i="1"/>
  <c r="B21" i="1"/>
  <c r="B20" i="1"/>
  <c r="B19" i="1"/>
  <c r="B18" i="1"/>
  <c r="B17" i="1"/>
  <c r="B26" i="1"/>
  <c r="B14" i="1"/>
  <c r="B13" i="1"/>
  <c r="B12" i="1"/>
  <c r="B11" i="1"/>
  <c r="B10" i="1"/>
  <c r="B130" i="1"/>
  <c r="B129" i="1"/>
  <c r="B128" i="1"/>
  <c r="B125" i="1"/>
  <c r="C125" i="1" s="1"/>
  <c r="C5" i="1"/>
  <c r="B2" i="1"/>
  <c r="D99" i="1" l="1"/>
  <c r="I167" i="1"/>
  <c r="D98" i="1"/>
  <c r="I226" i="1"/>
  <c r="I222" i="1"/>
  <c r="I223" i="1"/>
  <c r="I233" i="1"/>
  <c r="D108" i="1"/>
  <c r="D226" i="1"/>
  <c r="H117" i="4"/>
  <c r="D222" i="1"/>
  <c r="I232" i="1"/>
  <c r="C131" i="1"/>
  <c r="C205" i="1"/>
  <c r="C204" i="1"/>
  <c r="H34" i="4"/>
  <c r="C77" i="4"/>
  <c r="D105" i="1"/>
  <c r="D223" i="1"/>
  <c r="D109" i="1"/>
  <c r="D26" i="1"/>
  <c r="D227" i="1"/>
  <c r="C212" i="1"/>
  <c r="C214" i="1"/>
  <c r="C69" i="1"/>
  <c r="H70" i="1"/>
  <c r="H90" i="1"/>
  <c r="C208" i="1"/>
  <c r="B139" i="1"/>
  <c r="B136" i="1"/>
  <c r="C206" i="1"/>
  <c r="C215" i="1"/>
  <c r="H145" i="1"/>
  <c r="C216" i="1"/>
  <c r="H135" i="1"/>
  <c r="C198" i="1"/>
  <c r="C201" i="1"/>
  <c r="C209" i="1"/>
  <c r="C213" i="1"/>
  <c r="H127" i="1"/>
  <c r="C202" i="1"/>
  <c r="C151" i="1"/>
  <c r="B219" i="1"/>
  <c r="C227" i="1" s="1"/>
  <c r="C68" i="1"/>
  <c r="C203" i="1"/>
  <c r="C150" i="4"/>
  <c r="C155" i="4"/>
  <c r="C160" i="4"/>
  <c r="H155" i="4"/>
  <c r="H31" i="4"/>
  <c r="B222" i="4"/>
  <c r="C226" i="4" s="1"/>
  <c r="G231" i="4"/>
  <c r="H234" i="4" s="1"/>
  <c r="G223" i="4"/>
  <c r="H228" i="4" s="1"/>
  <c r="H75" i="4"/>
  <c r="H147" i="4"/>
  <c r="C152" i="4"/>
  <c r="C168" i="4"/>
  <c r="B138" i="4"/>
  <c r="H21" i="4"/>
  <c r="C80" i="4"/>
  <c r="H167" i="4"/>
  <c r="H12" i="4"/>
  <c r="H89" i="4"/>
  <c r="H105" i="4"/>
  <c r="H114" i="4"/>
  <c r="B144" i="4"/>
  <c r="C68" i="4"/>
  <c r="C79" i="4"/>
  <c r="B140" i="4"/>
  <c r="H10" i="4"/>
  <c r="C41" i="4"/>
  <c r="C52" i="4"/>
  <c r="H35" i="4"/>
  <c r="C47" i="4"/>
  <c r="C56" i="4"/>
  <c r="C133" i="4"/>
  <c r="C42" i="4"/>
  <c r="H47" i="4"/>
  <c r="C51" i="4"/>
  <c r="C76" i="4"/>
  <c r="C165" i="4"/>
  <c r="C219" i="4"/>
  <c r="H17" i="4"/>
  <c r="H51" i="4"/>
  <c r="C86" i="4"/>
  <c r="H111" i="4"/>
  <c r="C132" i="4"/>
  <c r="B145" i="4"/>
  <c r="C18" i="4"/>
  <c r="C23" i="4"/>
  <c r="C39" i="4"/>
  <c r="C87" i="4"/>
  <c r="C91" i="4"/>
  <c r="H102" i="4"/>
  <c r="B146" i="4"/>
  <c r="C157" i="4"/>
  <c r="C162" i="4"/>
  <c r="H29" i="4"/>
  <c r="H72" i="4"/>
  <c r="H87" i="4"/>
  <c r="H91" i="4"/>
  <c r="H157" i="4"/>
  <c r="C40" i="4"/>
  <c r="C49" i="4"/>
  <c r="H77" i="4"/>
  <c r="H103" i="4"/>
  <c r="B141" i="4"/>
  <c r="H14" i="4"/>
  <c r="C78" i="4"/>
  <c r="C75" i="4"/>
  <c r="C84" i="4"/>
  <c r="C89" i="4"/>
  <c r="H94" i="4"/>
  <c r="C164" i="4"/>
  <c r="C204" i="4"/>
  <c r="C11" i="4"/>
  <c r="H23" i="4"/>
  <c r="H82" i="4"/>
  <c r="C90" i="4"/>
  <c r="H112" i="4"/>
  <c r="H145" i="4"/>
  <c r="H150" i="4"/>
  <c r="H158" i="4"/>
  <c r="H168" i="4"/>
  <c r="C209" i="4"/>
  <c r="C217" i="4"/>
  <c r="C24" i="4"/>
  <c r="C30" i="4"/>
  <c r="H43" i="4"/>
  <c r="C71" i="4"/>
  <c r="H95" i="4"/>
  <c r="H109" i="4"/>
  <c r="C151" i="4"/>
  <c r="H162" i="4"/>
  <c r="C29" i="4"/>
  <c r="H15" i="4"/>
  <c r="C44" i="4"/>
  <c r="C163" i="4"/>
  <c r="C166" i="4"/>
  <c r="C21" i="4"/>
  <c r="C25" i="4"/>
  <c r="H44" i="4"/>
  <c r="H56" i="4"/>
  <c r="C88" i="4"/>
  <c r="H137" i="4"/>
  <c r="C134" i="4"/>
  <c r="H148" i="4"/>
  <c r="C156" i="4"/>
  <c r="H166" i="4"/>
  <c r="H25" i="4"/>
  <c r="H106" i="4"/>
  <c r="C153" i="4"/>
  <c r="H160" i="4"/>
  <c r="C167" i="4"/>
  <c r="C13" i="4"/>
  <c r="C22" i="4"/>
  <c r="H32" i="4"/>
  <c r="H49" i="4"/>
  <c r="H84" i="4"/>
  <c r="G97" i="4"/>
  <c r="H97" i="4" s="1"/>
  <c r="H107" i="4"/>
  <c r="B143" i="4"/>
  <c r="H143" i="4"/>
  <c r="C161" i="4"/>
  <c r="H30" i="4"/>
  <c r="H57" i="4"/>
  <c r="H41" i="4"/>
  <c r="C54" i="4"/>
  <c r="H73" i="4"/>
  <c r="C85" i="4"/>
  <c r="H115" i="4"/>
  <c r="H135" i="4"/>
  <c r="C154" i="4"/>
  <c r="H164" i="4"/>
  <c r="C212" i="4"/>
  <c r="C220" i="4"/>
  <c r="C224" i="4"/>
  <c r="C225" i="4"/>
  <c r="H236" i="4"/>
  <c r="C128" i="4"/>
  <c r="H133" i="4"/>
  <c r="H138" i="4"/>
  <c r="H153" i="4"/>
  <c r="H92" i="4"/>
  <c r="H129" i="4"/>
  <c r="C149" i="4"/>
  <c r="H232" i="4"/>
  <c r="H11" i="4"/>
  <c r="H13" i="4"/>
  <c r="H16" i="4"/>
  <c r="C19" i="4"/>
  <c r="H33" i="4"/>
  <c r="H45" i="4"/>
  <c r="C48" i="4"/>
  <c r="C50" i="4"/>
  <c r="H54" i="4"/>
  <c r="H74" i="4"/>
  <c r="H76" i="4"/>
  <c r="H78" i="4"/>
  <c r="H104" i="4"/>
  <c r="H110" i="4"/>
  <c r="H116" i="4"/>
  <c r="C201" i="4"/>
  <c r="C207" i="4"/>
  <c r="C215" i="4"/>
  <c r="H53" i="4"/>
  <c r="H131" i="4"/>
  <c r="H136" i="4"/>
  <c r="H141" i="4"/>
  <c r="C206" i="4"/>
  <c r="C214" i="4"/>
  <c r="C5" i="4"/>
  <c r="B137" i="4"/>
  <c r="B139" i="4"/>
  <c r="H38" i="4"/>
  <c r="H40" i="4"/>
  <c r="H42" i="4"/>
  <c r="H83" i="4"/>
  <c r="H88" i="4"/>
  <c r="H90" i="4"/>
  <c r="H93" i="4"/>
  <c r="H113" i="4"/>
  <c r="H130" i="4"/>
  <c r="H132" i="4"/>
  <c r="H134" i="4"/>
  <c r="H142" i="4"/>
  <c r="H144" i="4"/>
  <c r="H146" i="4"/>
  <c r="H149" i="4"/>
  <c r="H154" i="4"/>
  <c r="H156" i="4"/>
  <c r="H159" i="4"/>
  <c r="H161" i="4"/>
  <c r="H163" i="4"/>
  <c r="H165" i="4"/>
  <c r="C210" i="4"/>
  <c r="D207" i="1" s="1"/>
  <c r="C218" i="4"/>
  <c r="H39" i="4"/>
  <c r="C10" i="4"/>
  <c r="C12" i="4"/>
  <c r="C14" i="4"/>
  <c r="C17" i="4"/>
  <c r="C20" i="4"/>
  <c r="H46" i="4"/>
  <c r="H48" i="4"/>
  <c r="H50" i="4"/>
  <c r="H52" i="4"/>
  <c r="H55" i="4"/>
  <c r="C72" i="4"/>
  <c r="H108" i="4"/>
  <c r="B202" i="4"/>
  <c r="C202" i="4" s="1"/>
  <c r="C205" i="4"/>
  <c r="C213" i="4"/>
  <c r="H22" i="4"/>
  <c r="C131" i="4"/>
  <c r="C208" i="4"/>
  <c r="D205" i="1" s="1"/>
  <c r="C216" i="4"/>
  <c r="C211" i="4"/>
  <c r="G220" i="1"/>
  <c r="H224" i="1" s="1"/>
  <c r="B137" i="1"/>
  <c r="C162" i="1"/>
  <c r="H130" i="1"/>
  <c r="H144" i="1"/>
  <c r="C146" i="1"/>
  <c r="C154" i="1"/>
  <c r="C158" i="1"/>
  <c r="D158" i="1" s="1"/>
  <c r="C217" i="1"/>
  <c r="C159" i="1"/>
  <c r="C152" i="1"/>
  <c r="H132" i="1"/>
  <c r="I132" i="1" s="1"/>
  <c r="H142" i="1"/>
  <c r="C157" i="1"/>
  <c r="C160" i="1"/>
  <c r="C210" i="1"/>
  <c r="C39" i="1"/>
  <c r="H133" i="1"/>
  <c r="H143" i="1"/>
  <c r="C149" i="1"/>
  <c r="C161" i="1"/>
  <c r="C211" i="1"/>
  <c r="C43" i="1"/>
  <c r="C38" i="1"/>
  <c r="D38" i="1" s="1"/>
  <c r="H79" i="1"/>
  <c r="B134" i="1"/>
  <c r="B142" i="1"/>
  <c r="C165" i="1"/>
  <c r="H147" i="1"/>
  <c r="H134" i="1"/>
  <c r="I134" i="1" s="1"/>
  <c r="B138" i="1"/>
  <c r="H128" i="1"/>
  <c r="H138" i="1"/>
  <c r="H146" i="1"/>
  <c r="B140" i="1"/>
  <c r="C147" i="1"/>
  <c r="H139" i="1"/>
  <c r="I139" i="1" s="1"/>
  <c r="B141" i="1"/>
  <c r="C148" i="1"/>
  <c r="C163" i="1"/>
  <c r="H140" i="1"/>
  <c r="I140" i="1" s="1"/>
  <c r="C164" i="1"/>
  <c r="G228" i="1"/>
  <c r="H229" i="1" s="1"/>
  <c r="H129" i="1"/>
  <c r="H141" i="1"/>
  <c r="I141" i="1" s="1"/>
  <c r="B135" i="1"/>
  <c r="B143" i="1"/>
  <c r="C150" i="1"/>
  <c r="C41" i="1"/>
  <c r="D41" i="1" s="1"/>
  <c r="H42" i="1"/>
  <c r="H50" i="1"/>
  <c r="C48" i="1"/>
  <c r="H91" i="1"/>
  <c r="H131" i="1"/>
  <c r="H126" i="1"/>
  <c r="I126" i="1" s="1"/>
  <c r="C153" i="1"/>
  <c r="D153" i="1" s="1"/>
  <c r="B199" i="1"/>
  <c r="C199" i="1" s="1"/>
  <c r="D199" i="1" s="1"/>
  <c r="H150" i="1"/>
  <c r="H165" i="1"/>
  <c r="H151" i="1"/>
  <c r="I151" i="1" s="1"/>
  <c r="H158" i="1"/>
  <c r="H159" i="1"/>
  <c r="H160" i="1"/>
  <c r="H153" i="1"/>
  <c r="H161" i="1"/>
  <c r="H154" i="1"/>
  <c r="H162" i="1"/>
  <c r="H155" i="1"/>
  <c r="H163" i="1"/>
  <c r="I163" i="1" s="1"/>
  <c r="H156" i="1"/>
  <c r="I156" i="1" s="1"/>
  <c r="H164" i="1"/>
  <c r="H152" i="1"/>
  <c r="H157" i="1"/>
  <c r="C50" i="1"/>
  <c r="H84" i="1"/>
  <c r="H92" i="1"/>
  <c r="I92" i="1" s="1"/>
  <c r="C51" i="1"/>
  <c r="H101" i="1"/>
  <c r="I101" i="1" s="1"/>
  <c r="H74" i="1"/>
  <c r="C86" i="1"/>
  <c r="G94" i="1"/>
  <c r="H94" i="1" s="1"/>
  <c r="C49" i="1"/>
  <c r="C52" i="1"/>
  <c r="H75" i="1"/>
  <c r="C87" i="1"/>
  <c r="H86" i="1"/>
  <c r="C53" i="1"/>
  <c r="D53" i="1" s="1"/>
  <c r="C88" i="1"/>
  <c r="H87" i="1"/>
  <c r="I87" i="1" s="1"/>
  <c r="C46" i="1"/>
  <c r="H88" i="1"/>
  <c r="I88" i="1" s="1"/>
  <c r="C47" i="1"/>
  <c r="H43" i="1"/>
  <c r="H51" i="1"/>
  <c r="H69" i="1"/>
  <c r="I69" i="1" s="1"/>
  <c r="C89" i="1"/>
  <c r="D89" i="1" s="1"/>
  <c r="H41" i="1"/>
  <c r="H44" i="1"/>
  <c r="H52" i="1"/>
  <c r="C72" i="1"/>
  <c r="C82" i="1"/>
  <c r="H85" i="1"/>
  <c r="H37" i="1"/>
  <c r="H45" i="1"/>
  <c r="H53" i="1"/>
  <c r="C73" i="1"/>
  <c r="H71" i="1"/>
  <c r="C83" i="1"/>
  <c r="H38" i="1"/>
  <c r="H46" i="1"/>
  <c r="H54" i="1"/>
  <c r="C65" i="1"/>
  <c r="C74" i="1"/>
  <c r="H72" i="1"/>
  <c r="C84" i="1"/>
  <c r="D84" i="1" s="1"/>
  <c r="C75" i="1"/>
  <c r="D75" i="1" s="1"/>
  <c r="H73" i="1"/>
  <c r="C85" i="1"/>
  <c r="C76" i="1"/>
  <c r="D76" i="1" s="1"/>
  <c r="H80" i="1"/>
  <c r="I80" i="1" s="1"/>
  <c r="H89" i="1"/>
  <c r="C77" i="1"/>
  <c r="D77" i="1" s="1"/>
  <c r="H81" i="1"/>
  <c r="H105" i="1"/>
  <c r="H99" i="1"/>
  <c r="H100" i="1"/>
  <c r="H39" i="1"/>
  <c r="H47" i="1"/>
  <c r="H55" i="1"/>
  <c r="I55" i="1" s="1"/>
  <c r="H49" i="1"/>
  <c r="H36" i="1"/>
  <c r="H40" i="1"/>
  <c r="H48" i="1"/>
  <c r="C40" i="1"/>
  <c r="H20" i="1"/>
  <c r="H19" i="1"/>
  <c r="I19" i="1" s="1"/>
  <c r="C14" i="1"/>
  <c r="C24" i="1"/>
  <c r="H27" i="1"/>
  <c r="H28" i="1"/>
  <c r="I28" i="1" s="1"/>
  <c r="H29" i="1"/>
  <c r="C22" i="1"/>
  <c r="H10" i="1"/>
  <c r="H30" i="1"/>
  <c r="I30" i="1" s="1"/>
  <c r="C23" i="1"/>
  <c r="H11" i="1"/>
  <c r="H31" i="1"/>
  <c r="H32" i="1"/>
  <c r="H33" i="1"/>
  <c r="C17" i="1"/>
  <c r="C25" i="1"/>
  <c r="D25" i="1" s="1"/>
  <c r="H12" i="1"/>
  <c r="I12" i="1" s="1"/>
  <c r="H13" i="1"/>
  <c r="C19" i="1"/>
  <c r="C29" i="1"/>
  <c r="H14" i="1"/>
  <c r="I14" i="1" s="1"/>
  <c r="C30" i="1"/>
  <c r="H15" i="1"/>
  <c r="C21" i="1"/>
  <c r="D21" i="1" s="1"/>
  <c r="H8" i="1"/>
  <c r="H21" i="1"/>
  <c r="I21" i="1" s="1"/>
  <c r="H9" i="1"/>
  <c r="H22" i="1"/>
  <c r="I22" i="1" s="1"/>
  <c r="H23" i="1"/>
  <c r="C20" i="1"/>
  <c r="D20" i="1" s="1"/>
  <c r="C18" i="1"/>
  <c r="D18" i="1" s="1"/>
  <c r="C13" i="1"/>
  <c r="D13" i="1" s="1"/>
  <c r="C129" i="1"/>
  <c r="C128" i="1"/>
  <c r="C130" i="1"/>
  <c r="D130" i="1" s="1"/>
  <c r="C10" i="1"/>
  <c r="C11" i="1"/>
  <c r="D11" i="1" s="1"/>
  <c r="C12" i="1"/>
  <c r="I164" i="1" l="1"/>
  <c r="I155" i="1"/>
  <c r="I15" i="1"/>
  <c r="D17" i="1"/>
  <c r="D22" i="1"/>
  <c r="D85" i="1"/>
  <c r="I85" i="1"/>
  <c r="D146" i="1"/>
  <c r="H233" i="4"/>
  <c r="I105" i="1"/>
  <c r="I84" i="1"/>
  <c r="D152" i="1"/>
  <c r="D47" i="1"/>
  <c r="I49" i="1"/>
  <c r="D49" i="1"/>
  <c r="D131" i="1"/>
  <c r="I131" i="1"/>
  <c r="I43" i="1"/>
  <c r="I40" i="1"/>
  <c r="I100" i="1"/>
  <c r="D14" i="1"/>
  <c r="I91" i="1"/>
  <c r="I74" i="1"/>
  <c r="D43" i="1"/>
  <c r="I142" i="1"/>
  <c r="I32" i="1"/>
  <c r="I75" i="1"/>
  <c r="D48" i="1"/>
  <c r="D149" i="1"/>
  <c r="D10" i="1"/>
  <c r="I36" i="1"/>
  <c r="I50" i="1"/>
  <c r="D19" i="1"/>
  <c r="I150" i="1"/>
  <c r="D159" i="1"/>
  <c r="I33" i="1"/>
  <c r="D74" i="1"/>
  <c r="I41" i="1"/>
  <c r="D128" i="1"/>
  <c r="I152" i="1"/>
  <c r="I153" i="1"/>
  <c r="I128" i="1"/>
  <c r="I158" i="1"/>
  <c r="D83" i="1"/>
  <c r="I129" i="1"/>
  <c r="I27" i="1"/>
  <c r="I138" i="1"/>
  <c r="I31" i="1"/>
  <c r="D163" i="1"/>
  <c r="C231" i="4"/>
  <c r="D12" i="1"/>
  <c r="I29" i="1"/>
  <c r="I38" i="1"/>
  <c r="I147" i="1"/>
  <c r="I133" i="1"/>
  <c r="D23" i="1"/>
  <c r="I89" i="1"/>
  <c r="I53" i="1"/>
  <c r="D46" i="1"/>
  <c r="I11" i="1"/>
  <c r="D24" i="1"/>
  <c r="D73" i="1"/>
  <c r="D50" i="1"/>
  <c r="I13" i="1"/>
  <c r="I94" i="1"/>
  <c r="D217" i="1"/>
  <c r="D86" i="1"/>
  <c r="D150" i="1"/>
  <c r="I20" i="1"/>
  <c r="I37" i="1"/>
  <c r="D154" i="1"/>
  <c r="D52" i="1"/>
  <c r="I51" i="1"/>
  <c r="D157" i="1"/>
  <c r="D30" i="1"/>
  <c r="I48" i="1"/>
  <c r="I73" i="1"/>
  <c r="D87" i="1"/>
  <c r="D51" i="1"/>
  <c r="D160" i="1"/>
  <c r="D161" i="1"/>
  <c r="D164" i="1"/>
  <c r="I160" i="1"/>
  <c r="D165" i="1"/>
  <c r="I165" i="1"/>
  <c r="D162" i="1"/>
  <c r="I157" i="1"/>
  <c r="I161" i="1"/>
  <c r="D204" i="1"/>
  <c r="I146" i="1"/>
  <c r="D129" i="1"/>
  <c r="D88" i="1"/>
  <c r="D39" i="1"/>
  <c r="D203" i="1"/>
  <c r="D201" i="1"/>
  <c r="I39" i="1"/>
  <c r="I54" i="1"/>
  <c r="D210" i="1"/>
  <c r="D40" i="1"/>
  <c r="I46" i="1"/>
  <c r="I86" i="1"/>
  <c r="D82" i="1"/>
  <c r="D209" i="1"/>
  <c r="I144" i="1"/>
  <c r="D29" i="1"/>
  <c r="I81" i="1"/>
  <c r="I71" i="1"/>
  <c r="I130" i="1"/>
  <c r="I47" i="1"/>
  <c r="I45" i="1"/>
  <c r="I79" i="1"/>
  <c r="I8" i="1"/>
  <c r="I10" i="1"/>
  <c r="D68" i="1"/>
  <c r="D198" i="1"/>
  <c r="D208" i="1"/>
  <c r="I159" i="1"/>
  <c r="D148" i="1"/>
  <c r="I135" i="1"/>
  <c r="I90" i="1"/>
  <c r="I99" i="1"/>
  <c r="D211" i="1"/>
  <c r="D151" i="1"/>
  <c r="D216" i="1"/>
  <c r="I70" i="1"/>
  <c r="D72" i="1"/>
  <c r="D202" i="1"/>
  <c r="I145" i="1"/>
  <c r="D69" i="1"/>
  <c r="I52" i="1"/>
  <c r="I162" i="1"/>
  <c r="D147" i="1"/>
  <c r="I127" i="1"/>
  <c r="D215" i="1"/>
  <c r="D214" i="1"/>
  <c r="I23" i="1"/>
  <c r="I9" i="1"/>
  <c r="I72" i="1"/>
  <c r="I44" i="1"/>
  <c r="I154" i="1"/>
  <c r="I42" i="1"/>
  <c r="I143" i="1"/>
  <c r="D213" i="1"/>
  <c r="D206" i="1"/>
  <c r="D212" i="1"/>
  <c r="C139" i="1"/>
  <c r="C227" i="4"/>
  <c r="H235" i="4"/>
  <c r="C229" i="4"/>
  <c r="C223" i="4"/>
  <c r="C232" i="4"/>
  <c r="C230" i="4"/>
  <c r="H225" i="4"/>
  <c r="C228" i="4"/>
  <c r="H226" i="4"/>
  <c r="H224" i="4"/>
  <c r="H227" i="4"/>
  <c r="C142" i="4"/>
  <c r="H229" i="4"/>
  <c r="C139" i="4"/>
  <c r="C145" i="4"/>
  <c r="C138" i="4"/>
  <c r="C137" i="4"/>
  <c r="C143" i="4"/>
  <c r="C141" i="4"/>
  <c r="C144" i="4"/>
  <c r="C146" i="4"/>
  <c r="C140" i="4"/>
  <c r="C136" i="1"/>
  <c r="H223" i="1"/>
  <c r="H222" i="1"/>
  <c r="H221" i="1"/>
  <c r="H226" i="1"/>
  <c r="C140" i="1"/>
  <c r="H225" i="1"/>
  <c r="C226" i="1"/>
  <c r="C225" i="1"/>
  <c r="C224" i="1"/>
  <c r="C223" i="1"/>
  <c r="C229" i="1"/>
  <c r="C137" i="1"/>
  <c r="H232" i="1"/>
  <c r="C221" i="1"/>
  <c r="C134" i="1"/>
  <c r="H231" i="1"/>
  <c r="C142" i="1"/>
  <c r="C220" i="1"/>
  <c r="C143" i="1"/>
  <c r="C228" i="1"/>
  <c r="C135" i="1"/>
  <c r="C138" i="1"/>
  <c r="H230" i="1"/>
  <c r="H233" i="1"/>
  <c r="C141" i="1"/>
  <c r="C222" i="1"/>
  <c r="H103" i="1"/>
  <c r="I103" i="1" s="1"/>
  <c r="H108" i="1"/>
  <c r="I108" i="1" s="1"/>
  <c r="H102" i="1"/>
  <c r="I102" i="1" s="1"/>
  <c r="H109" i="1"/>
  <c r="I109" i="1" s="1"/>
  <c r="H112" i="1"/>
  <c r="I112" i="1" s="1"/>
  <c r="H106" i="1"/>
  <c r="I106" i="1" s="1"/>
  <c r="H107" i="1"/>
  <c r="I107" i="1" s="1"/>
  <c r="H104" i="1"/>
  <c r="I104" i="1" s="1"/>
  <c r="D141" i="1" l="1"/>
  <c r="D139" i="1"/>
  <c r="D142" i="1"/>
  <c r="D135" i="1"/>
  <c r="D143" i="1"/>
  <c r="D137" i="1"/>
  <c r="D136" i="1"/>
  <c r="D134" i="1"/>
  <c r="D138" i="1"/>
  <c r="D140" i="1"/>
  <c r="H111" i="1"/>
  <c r="I111" i="1" s="1"/>
  <c r="H113" i="1"/>
  <c r="I113" i="1" s="1"/>
  <c r="H110" i="1"/>
  <c r="I110" i="1" s="1"/>
  <c r="H114" i="1" l="1"/>
  <c r="I114" i="1" s="1"/>
</calcChain>
</file>

<file path=xl/sharedStrings.xml><?xml version="1.0" encoding="utf-8"?>
<sst xmlns="http://schemas.openxmlformats.org/spreadsheetml/2006/main" count="1213" uniqueCount="811">
  <si>
    <t>POP90</t>
  </si>
  <si>
    <t>POP00</t>
  </si>
  <si>
    <t>POP10</t>
  </si>
  <si>
    <t>POPCY</t>
  </si>
  <si>
    <t>POPPY</t>
  </si>
  <si>
    <t>HHD90</t>
  </si>
  <si>
    <t>HHD00</t>
  </si>
  <si>
    <t>HHD10</t>
  </si>
  <si>
    <t>HHDCY</t>
  </si>
  <si>
    <t>HHDPY</t>
  </si>
  <si>
    <t>DWLCY</t>
  </si>
  <si>
    <t>DWLCYOWNED</t>
  </si>
  <si>
    <t>DWLCYRENT</t>
  </si>
  <si>
    <t>DWLCYVACNT</t>
  </si>
  <si>
    <t>DWL10VACNT</t>
  </si>
  <si>
    <t>VAC10SEAS</t>
  </si>
  <si>
    <t>VAC10MIGR</t>
  </si>
  <si>
    <t>POPCYFAM</t>
  </si>
  <si>
    <t>POPCYNFM</t>
  </si>
  <si>
    <t>POPCYGRP</t>
  </si>
  <si>
    <t>GRPCYCOLL</t>
  </si>
  <si>
    <t>GRPCYMIL</t>
  </si>
  <si>
    <t>AGECYMED</t>
  </si>
  <si>
    <t>AGECY0004</t>
  </si>
  <si>
    <t>AGECY0509</t>
  </si>
  <si>
    <t>AGECY1014</t>
  </si>
  <si>
    <t>AGECY1519</t>
  </si>
  <si>
    <t>AGECY2024</t>
  </si>
  <si>
    <t>AGECY2529</t>
  </si>
  <si>
    <t>AGECY3034</t>
  </si>
  <si>
    <t>AGECY3539</t>
  </si>
  <si>
    <t>AGECY4044</t>
  </si>
  <si>
    <t>AGECY4549</t>
  </si>
  <si>
    <t>AGECY5054</t>
  </si>
  <si>
    <t>AGECY5559</t>
  </si>
  <si>
    <t>AGECY6064</t>
  </si>
  <si>
    <t>AGECY6569</t>
  </si>
  <si>
    <t>AGECY7074</t>
  </si>
  <si>
    <t>AGECY7579</t>
  </si>
  <si>
    <t>AGECY8084</t>
  </si>
  <si>
    <t>AGECYGT85</t>
  </si>
  <si>
    <t>SEXCYMAL</t>
  </si>
  <si>
    <t>SEXCYFEM</t>
  </si>
  <si>
    <t>RCHCYWHNHS</t>
  </si>
  <si>
    <t>RCHCYBLNHS</t>
  </si>
  <si>
    <t>RCHCYAMNHS</t>
  </si>
  <si>
    <t>RCHCYASNHS</t>
  </si>
  <si>
    <t>RCHCYHANHS</t>
  </si>
  <si>
    <t>RCHCYOTNHS</t>
  </si>
  <si>
    <t>RCHCYMUNHS</t>
  </si>
  <si>
    <t>HISCYHISP</t>
  </si>
  <si>
    <t>AGECYGT15</t>
  </si>
  <si>
    <t>MARCYNEVER</t>
  </si>
  <si>
    <t>MARCYMARR</t>
  </si>
  <si>
    <t>MARCYSEP</t>
  </si>
  <si>
    <t>MARCYWIDOW</t>
  </si>
  <si>
    <t>MARCYDIVOR</t>
  </si>
  <si>
    <t>AGECYGT25</t>
  </si>
  <si>
    <t>EDUCYLTGR9</t>
  </si>
  <si>
    <t>EDUCYSHSCH</t>
  </si>
  <si>
    <t>EDUCYHSCH</t>
  </si>
  <si>
    <t>EDUCYSCOLL</t>
  </si>
  <si>
    <t>EDUCYASSOC</t>
  </si>
  <si>
    <t>EDUCYBACH</t>
  </si>
  <si>
    <t>EDUCYGRAD</t>
  </si>
  <si>
    <t>LBFCYPOP16</t>
  </si>
  <si>
    <t>LBFCYARM</t>
  </si>
  <si>
    <t>LBFCYEMPL</t>
  </si>
  <si>
    <t>LBFCYUNEM</t>
  </si>
  <si>
    <t>LBFCYNLF</t>
  </si>
  <si>
    <t>HHDCYFAM</t>
  </si>
  <si>
    <t>HHDCYNFM</t>
  </si>
  <si>
    <t>HHSCYMCFCH</t>
  </si>
  <si>
    <t>HHSCYLPMCH</t>
  </si>
  <si>
    <t>HHSCYLPFCH</t>
  </si>
  <si>
    <t>HHSCYMCFNC</t>
  </si>
  <si>
    <t>HHSCYLPMNC</t>
  </si>
  <si>
    <t>HHSCYLPFNC</t>
  </si>
  <si>
    <t>HHDCYAVESZ</t>
  </si>
  <si>
    <t>HHDCYS1</t>
  </si>
  <si>
    <t>HHDCYS2</t>
  </si>
  <si>
    <t>HHDCYS3</t>
  </si>
  <si>
    <t>HHDCYS4</t>
  </si>
  <si>
    <t>HHDCYS5</t>
  </si>
  <si>
    <t>HHDCYS6</t>
  </si>
  <si>
    <t>HHDCYS7</t>
  </si>
  <si>
    <t>HHDCYMEDAG</t>
  </si>
  <si>
    <t>HAGCY1524</t>
  </si>
  <si>
    <t>HAGCY2534</t>
  </si>
  <si>
    <t>HAGCY3544</t>
  </si>
  <si>
    <t>HAGCY4554</t>
  </si>
  <si>
    <t>HAGCY5564</t>
  </si>
  <si>
    <t>HAGCY6574</t>
  </si>
  <si>
    <t>HAGCY7584</t>
  </si>
  <si>
    <t>HAGCYGT85</t>
  </si>
  <si>
    <t>VPHCYNONE</t>
  </si>
  <si>
    <t>VPHCY1</t>
  </si>
  <si>
    <t>VPHCYGT1</t>
  </si>
  <si>
    <t>INCCYPCAP</t>
  </si>
  <si>
    <t>INCCYMEDHH</t>
  </si>
  <si>
    <t>INCCYMEDFA</t>
  </si>
  <si>
    <t>HINCYLT10</t>
  </si>
  <si>
    <t>HINCY1015</t>
  </si>
  <si>
    <t>HINCY1520</t>
  </si>
  <si>
    <t>HINCY2025</t>
  </si>
  <si>
    <t>HINCY2530</t>
  </si>
  <si>
    <t>HINCY3035</t>
  </si>
  <si>
    <t>HINCY3540</t>
  </si>
  <si>
    <t>HINCY4045</t>
  </si>
  <si>
    <t>HINCY4550</t>
  </si>
  <si>
    <t>HINCY5060</t>
  </si>
  <si>
    <t>HINCY6075</t>
  </si>
  <si>
    <t>HINCY75100</t>
  </si>
  <si>
    <t>HINCY10025</t>
  </si>
  <si>
    <t>HINCY12550</t>
  </si>
  <si>
    <t>HINCY15020</t>
  </si>
  <si>
    <t>HINCYGT200</t>
  </si>
  <si>
    <t>HINCYMED24</t>
  </si>
  <si>
    <t>HINCYMED25</t>
  </si>
  <si>
    <t>HINCYMED35</t>
  </si>
  <si>
    <t>HINCYMED45</t>
  </si>
  <si>
    <t>HINCYMED55</t>
  </si>
  <si>
    <t>HINCYMED65</t>
  </si>
  <si>
    <t>HINCYMED75</t>
  </si>
  <si>
    <t>XCYTOTAL</t>
  </si>
  <si>
    <t>XCYRTL</t>
  </si>
  <si>
    <t>XCYCC</t>
  </si>
  <si>
    <t>XCYPI</t>
  </si>
  <si>
    <t>XCYAP</t>
  </si>
  <si>
    <t>XCYED</t>
  </si>
  <si>
    <t>XCYEN</t>
  </si>
  <si>
    <t>XCYFB</t>
  </si>
  <si>
    <t>XCYHC</t>
  </si>
  <si>
    <t>XCYHF</t>
  </si>
  <si>
    <t>XCYHH</t>
  </si>
  <si>
    <t>XCYHO</t>
  </si>
  <si>
    <t>XCYMI</t>
  </si>
  <si>
    <t>XCYPC</t>
  </si>
  <si>
    <t>XCYRD</t>
  </si>
  <si>
    <t>XCYTB</t>
  </si>
  <si>
    <t>XCYTR</t>
  </si>
  <si>
    <t>XCYUT</t>
  </si>
  <si>
    <t>XCYGI</t>
  </si>
  <si>
    <t>HMVCYTRAN</t>
  </si>
  <si>
    <t>HMVCYCD</t>
  </si>
  <si>
    <t>HMVCYSAVB</t>
  </si>
  <si>
    <t>HMVCYBOND</t>
  </si>
  <si>
    <t>HMVCYSTCK</t>
  </si>
  <si>
    <t>HMVCYMUTF</t>
  </si>
  <si>
    <t>HMVCYRETR</t>
  </si>
  <si>
    <t>HMVCYLIFE</t>
  </si>
  <si>
    <t>HMVCYOTMG</t>
  </si>
  <si>
    <t>HMVCYOTFI</t>
  </si>
  <si>
    <t>HMVCYANY</t>
  </si>
  <si>
    <t>HMVCYVEH</t>
  </si>
  <si>
    <t>HMVCYDWL</t>
  </si>
  <si>
    <t>HMVCYSRE</t>
  </si>
  <si>
    <t>HMVCYIRE</t>
  </si>
  <si>
    <t>HMVCYBUS</t>
  </si>
  <si>
    <t>HMVCYOTNF</t>
  </si>
  <si>
    <t>HMVCYANYNF</t>
  </si>
  <si>
    <t>HMVCYMORT</t>
  </si>
  <si>
    <t>HMVCYINSTL</t>
  </si>
  <si>
    <t>HMVCYLNCRE</t>
  </si>
  <si>
    <t>HMVCYCREDC</t>
  </si>
  <si>
    <t>HMVCYDIRE</t>
  </si>
  <si>
    <t>HMVCYDOTH</t>
  </si>
  <si>
    <t>HMVCYDANY</t>
  </si>
  <si>
    <t>WRHCYAVEHH</t>
  </si>
  <si>
    <t>CRMCYTOTC</t>
  </si>
  <si>
    <t>CRMCYPERC</t>
  </si>
  <si>
    <t>CRMCYMURD</t>
  </si>
  <si>
    <t>CRMCYRAPE</t>
  </si>
  <si>
    <t>CRMCYROBB</t>
  </si>
  <si>
    <t>CRMCYASST</t>
  </si>
  <si>
    <t>CRMCYPROC</t>
  </si>
  <si>
    <t>CRMCYBURG</t>
  </si>
  <si>
    <t>CRMCYLARC</t>
  </si>
  <si>
    <t>CRMCYMVEH</t>
  </si>
  <si>
    <t>DIMCYAFFLU</t>
  </si>
  <si>
    <t>DIMCYFAMST</t>
  </si>
  <si>
    <t>DIMCYAGE</t>
  </si>
  <si>
    <t>DIMCYHISP</t>
  </si>
  <si>
    <t>DIMCYMCHOU</t>
  </si>
  <si>
    <t>DIMCYWHBLK</t>
  </si>
  <si>
    <t>DIMCYASIAN</t>
  </si>
  <si>
    <t>DIMCYGOVTW</t>
  </si>
  <si>
    <t>DIMCYMOBH</t>
  </si>
  <si>
    <t>DIMCYCOLL</t>
  </si>
  <si>
    <t>DIMCYEXPH</t>
  </si>
  <si>
    <t>DIMCYSEAS</t>
  </si>
  <si>
    <t>DIMCYGRWTH</t>
  </si>
  <si>
    <t>DIMCYSLFEM</t>
  </si>
  <si>
    <t>DIMCYURBCM</t>
  </si>
  <si>
    <t>DIMCYCORR</t>
  </si>
  <si>
    <t>DIMCYLRENT</t>
  </si>
  <si>
    <t>DIMCYRETEM</t>
  </si>
  <si>
    <t>DIMCYHLTEM</t>
  </si>
  <si>
    <t>DIMCYRNTF</t>
  </si>
  <si>
    <t>DIMCYMINES</t>
  </si>
  <si>
    <t>DIMCYNATAM</t>
  </si>
  <si>
    <t>DIMCYFARMW</t>
  </si>
  <si>
    <t>DIMCYFIREF</t>
  </si>
  <si>
    <t>DIMCYMILIT</t>
  </si>
  <si>
    <t>DIMCYJUVE</t>
  </si>
  <si>
    <t>QLICYQOLI</t>
  </si>
  <si>
    <t>QLICYECON</t>
  </si>
  <si>
    <t>QLICYHLTH</t>
  </si>
  <si>
    <t>QLICYCOMM</t>
  </si>
  <si>
    <t>QLICYLEIS</t>
  </si>
  <si>
    <t>QLICYPHYS</t>
  </si>
  <si>
    <t>HOO10V01</t>
  </si>
  <si>
    <t>HOO10V02</t>
  </si>
  <si>
    <t>HOO10V03</t>
  </si>
  <si>
    <t>HOO10V04</t>
  </si>
  <si>
    <t>HOO10V05</t>
  </si>
  <si>
    <t>HOO10V06</t>
  </si>
  <si>
    <t>HOO10V07</t>
  </si>
  <si>
    <t>HOO10V08</t>
  </si>
  <si>
    <t>HOO10V09</t>
  </si>
  <si>
    <t>HOO10V10</t>
  </si>
  <si>
    <t>HOO10V11</t>
  </si>
  <si>
    <t>HOO10V12</t>
  </si>
  <si>
    <t>HOO10V13</t>
  </si>
  <si>
    <t>HOO10V14</t>
  </si>
  <si>
    <t>HOO10V15</t>
  </si>
  <si>
    <t>HOO10V16</t>
  </si>
  <si>
    <t>HOO10V17</t>
  </si>
  <si>
    <t>HOO10V18</t>
  </si>
  <si>
    <t>HOO10V19</t>
  </si>
  <si>
    <t>HOO10V20</t>
  </si>
  <si>
    <t>HOO10V21</t>
  </si>
  <si>
    <t>HOO10V22</t>
  </si>
  <si>
    <t>HOO10V23</t>
  </si>
  <si>
    <t>HOO10V24</t>
  </si>
  <si>
    <t>HOO10MED</t>
  </si>
  <si>
    <t>RNT1001</t>
  </si>
  <si>
    <t>RNT1002</t>
  </si>
  <si>
    <t>RNT1003</t>
  </si>
  <si>
    <t>RNT1004</t>
  </si>
  <si>
    <t>RNT1005</t>
  </si>
  <si>
    <t>RNT1006</t>
  </si>
  <si>
    <t>RNT1007</t>
  </si>
  <si>
    <t>RNT1008</t>
  </si>
  <si>
    <t>RNT1009</t>
  </si>
  <si>
    <t>RNT1010</t>
  </si>
  <si>
    <t>RNT1011</t>
  </si>
  <si>
    <t>RNT1012</t>
  </si>
  <si>
    <t>RNT1013</t>
  </si>
  <si>
    <t>RNT1014</t>
  </si>
  <si>
    <t>RNT1015</t>
  </si>
  <si>
    <t>RNT1016</t>
  </si>
  <si>
    <t>RNT1017</t>
  </si>
  <si>
    <t>RNT1018</t>
  </si>
  <si>
    <t>UNITED STATES</t>
  </si>
  <si>
    <t>NAME</t>
  </si>
  <si>
    <t>SEGMENT</t>
  </si>
  <si>
    <t>01</t>
  </si>
  <si>
    <t>One Percenters</t>
  </si>
  <si>
    <t>Peak Performers</t>
  </si>
  <si>
    <t>Second City Moguls</t>
  </si>
  <si>
    <t>Sprawl Success</t>
  </si>
  <si>
    <t>Transitioning Affluent Families</t>
  </si>
  <si>
    <t>Best of Both Worlds</t>
  </si>
  <si>
    <t>Upscale Diversity</t>
  </si>
  <si>
    <t>Living the Dream</t>
  </si>
  <si>
    <t>Successful Urban Refugees</t>
  </si>
  <si>
    <t>Emerging Leaders</t>
  </si>
  <si>
    <t>Affluent Newcomers</t>
  </si>
  <si>
    <t>Mainstream Established Suburbs</t>
  </si>
  <si>
    <t>Cowboy Country</t>
  </si>
  <si>
    <t>American Playgrounds</t>
  </si>
  <si>
    <t>Comfortable Retirement</t>
  </si>
  <si>
    <t>Spacious Suburbs</t>
  </si>
  <si>
    <t>New American Dreams</t>
  </si>
  <si>
    <t>Small Town Middle Managers</t>
  </si>
  <si>
    <t>Outer Suburban Affluence</t>
  </si>
  <si>
    <t>Rugged Individualists</t>
  </si>
  <si>
    <t>New Suburban Style</t>
  </si>
  <si>
    <t>Up and Coming Suburban Diversity</t>
  </si>
  <si>
    <t>Isolated Hispanic Neighborhoods</t>
  </si>
  <si>
    <t>Hipsters and Geeks</t>
  </si>
  <si>
    <t>High Density Diversity</t>
  </si>
  <si>
    <t>Young Coastal Technocrats</t>
  </si>
  <si>
    <t>Asian-Hispanic Fusion</t>
  </si>
  <si>
    <t>Big Apple Dreamers</t>
  </si>
  <si>
    <t>True Grit</t>
  </si>
  <si>
    <t>Working Hispania</t>
  </si>
  <si>
    <t>Struggling Singles</t>
  </si>
  <si>
    <t>Nor'Easters</t>
  </si>
  <si>
    <t>Midwestern Comforts</t>
  </si>
  <si>
    <t>Generational Dreams</t>
  </si>
  <si>
    <t>Olde New England</t>
  </si>
  <si>
    <t>Faded Industrial Dreams</t>
  </si>
  <si>
    <t>Failing Prospects</t>
  </si>
  <si>
    <t>Second City Beginnings</t>
  </si>
  <si>
    <t>Beltway Commuters</t>
  </si>
  <si>
    <t>Garden Variety Suburbia</t>
  </si>
  <si>
    <t>Rising Fortunes</t>
  </si>
  <si>
    <t>Classic Interstate Suburbia</t>
  </si>
  <si>
    <t>Pacific Second City</t>
  </si>
  <si>
    <t>Northern Blues</t>
  </si>
  <si>
    <t>Recessive Singles</t>
  </si>
  <si>
    <t>Simply Southern</t>
  </si>
  <si>
    <t>Tex-Mex</t>
  </si>
  <si>
    <t>Sierra Siesta</t>
  </si>
  <si>
    <t>Great Plains, Great Struggles</t>
  </si>
  <si>
    <t>Boots and Brews</t>
  </si>
  <si>
    <t>Great Open Country</t>
  </si>
  <si>
    <t>Classic Dixie</t>
  </si>
  <si>
    <t>Off the Beaten Path</t>
  </si>
  <si>
    <t>Hollows and Hills</t>
  </si>
  <si>
    <t>Gospel and Guns</t>
  </si>
  <si>
    <t>Cap and Gown</t>
  </si>
  <si>
    <t>Marking Time</t>
  </si>
  <si>
    <t>Hispanic Working Poor</t>
  </si>
  <si>
    <t>Bordertown Blues</t>
  </si>
  <si>
    <t>Communal Living</t>
  </si>
  <si>
    <t>Living Here in Allentown</t>
  </si>
  <si>
    <t>Southern Small City Blues</t>
  </si>
  <si>
    <t>Struggling Southerners</t>
  </si>
  <si>
    <t>Forgotten Towns</t>
  </si>
  <si>
    <t>Post Industrial Trauma</t>
  </si>
  <si>
    <t>Starting Out</t>
  </si>
  <si>
    <t>Rust Belt Poverty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</si>
  <si>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</si>
  <si>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</si>
  <si>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</si>
  <si>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</si>
  <si>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</si>
  <si>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</si>
  <si>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</si>
  <si>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</si>
  <si>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</si>
  <si>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</si>
  <si>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</si>
  <si>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</si>
  <si>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</si>
  <si>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</si>
  <si>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</si>
  <si>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</si>
  <si>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</si>
  <si>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</si>
  <si>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</si>
  <si>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</si>
  <si>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</si>
  <si>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</si>
  <si>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</si>
  <si>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</si>
  <si>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</si>
  <si>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</si>
  <si>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</si>
  <si>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</si>
  <si>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</si>
  <si>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</si>
  <si>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</si>
  <si>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</si>
  <si>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</si>
  <si>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</si>
  <si>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</si>
  <si>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</si>
  <si>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</si>
  <si>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</si>
  <si>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</si>
  <si>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</si>
  <si>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</si>
  <si>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</si>
  <si>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</si>
  <si>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</si>
  <si>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</si>
  <si>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</si>
  <si>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</si>
  <si>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</si>
  <si>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</si>
  <si>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</si>
  <si>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</si>
  <si>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</si>
  <si>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</si>
  <si>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</si>
  <si>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</si>
  <si>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</si>
  <si>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</si>
  <si>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</si>
  <si>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</si>
  <si>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</si>
  <si>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</si>
  <si>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</si>
  <si>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</si>
  <si>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</si>
  <si>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</si>
  <si>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</si>
  <si>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</si>
  <si>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% US</t>
  </si>
  <si>
    <t>RNT1019</t>
  </si>
  <si>
    <t>RNT1020</t>
  </si>
  <si>
    <t>RNT1021</t>
  </si>
  <si>
    <t>RNT1022</t>
  </si>
  <si>
    <t>RNT10MED</t>
  </si>
  <si>
    <t>HUS10O1DET</t>
  </si>
  <si>
    <t>HUS10O1ATT</t>
  </si>
  <si>
    <t>HUS10O2</t>
  </si>
  <si>
    <t>HUS10O0304</t>
  </si>
  <si>
    <t>HUS10O0509</t>
  </si>
  <si>
    <t>HUS10O1019</t>
  </si>
  <si>
    <t>HUS10O2049</t>
  </si>
  <si>
    <t>HUS10OGT50</t>
  </si>
  <si>
    <t>HUS10OMOB</t>
  </si>
  <si>
    <t>HUS10OBOAT</t>
  </si>
  <si>
    <t>HUS10R1DET</t>
  </si>
  <si>
    <t>HUS10R1ATT</t>
  </si>
  <si>
    <t>HUS10R2</t>
  </si>
  <si>
    <t>HUS10R0304</t>
  </si>
  <si>
    <t>HUS10R0509</t>
  </si>
  <si>
    <t>HUS10R1019</t>
  </si>
  <si>
    <t>HUS10R2049</t>
  </si>
  <si>
    <t>HUS10RGT50</t>
  </si>
  <si>
    <t>HUS10RMOB</t>
  </si>
  <si>
    <t>HUS10RBOAT</t>
  </si>
  <si>
    <t>YBT1005UP</t>
  </si>
  <si>
    <t>YBT100004</t>
  </si>
  <si>
    <t>YBT109099</t>
  </si>
  <si>
    <t>YBT108089</t>
  </si>
  <si>
    <t>YBT107079</t>
  </si>
  <si>
    <t>YBT106069</t>
  </si>
  <si>
    <t>YBT105059</t>
  </si>
  <si>
    <t>YBT104049</t>
  </si>
  <si>
    <t>YBT1039PR</t>
  </si>
  <si>
    <t>IND10AGRI</t>
  </si>
  <si>
    <t>IND10MINE</t>
  </si>
  <si>
    <t>IND10CONS</t>
  </si>
  <si>
    <t>IND10MMFG</t>
  </si>
  <si>
    <t>IND10WTRA</t>
  </si>
  <si>
    <t>IND10RTRA</t>
  </si>
  <si>
    <t>IND10TRAN</t>
  </si>
  <si>
    <t>IND10UTIL</t>
  </si>
  <si>
    <t>IND10INFO</t>
  </si>
  <si>
    <t>IND10FIN</t>
  </si>
  <si>
    <t>IND10REAL</t>
  </si>
  <si>
    <t>IND10PSRV</t>
  </si>
  <si>
    <t>IND10MGMT</t>
  </si>
  <si>
    <t>IND10ADS</t>
  </si>
  <si>
    <t>IND10EDUC</t>
  </si>
  <si>
    <t>IND10HLTH</t>
  </si>
  <si>
    <t>IND10ARTS</t>
  </si>
  <si>
    <t>IND10FOOD</t>
  </si>
  <si>
    <t>IND10OTHR</t>
  </si>
  <si>
    <t>IND10PUBA</t>
  </si>
  <si>
    <t>CLW10PRV</t>
  </si>
  <si>
    <t>CLW10SLF</t>
  </si>
  <si>
    <t>CLW10NPF</t>
  </si>
  <si>
    <t>CLW10LGV</t>
  </si>
  <si>
    <t>CLW10SGV</t>
  </si>
  <si>
    <t>CLW10FGV</t>
  </si>
  <si>
    <t>CLW10SLFX</t>
  </si>
  <si>
    <t>CLW10UNP</t>
  </si>
  <si>
    <t>LNI10ENGL</t>
  </si>
  <si>
    <t>LNI10SPNIS</t>
  </si>
  <si>
    <t>LNI10SPNN</t>
  </si>
  <si>
    <t>LNI10IEUIS</t>
  </si>
  <si>
    <t>LNI10IUEN</t>
  </si>
  <si>
    <t>LNI10ASNIS</t>
  </si>
  <si>
    <t>LNI10ASNN</t>
  </si>
  <si>
    <t>LNI10OTHIN</t>
  </si>
  <si>
    <t>LNI10OTHN</t>
  </si>
  <si>
    <t>%</t>
  </si>
  <si>
    <t>Index</t>
  </si>
  <si>
    <t>Owner Occupied</t>
  </si>
  <si>
    <t>Renter Occupied</t>
  </si>
  <si>
    <t>Vacant</t>
  </si>
  <si>
    <t>Seasonally Vacant</t>
  </si>
  <si>
    <t>Detached, Single</t>
  </si>
  <si>
    <t>Attached, Single</t>
  </si>
  <si>
    <t>2 Units</t>
  </si>
  <si>
    <t>5-9 Units</t>
  </si>
  <si>
    <t>Family</t>
  </si>
  <si>
    <t>Non-Family</t>
  </si>
  <si>
    <t>Group Quarters</t>
  </si>
  <si>
    <t>College Dorms</t>
  </si>
  <si>
    <t>Military Bases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</si>
  <si>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</si>
  <si>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</si>
  <si>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</si>
  <si>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</si>
  <si>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</si>
  <si>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</si>
  <si>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</si>
  <si>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</si>
  <si>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</si>
  <si>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Median Age</t>
  </si>
  <si>
    <t>Male</t>
  </si>
  <si>
    <t>Female</t>
  </si>
  <si>
    <t>White</t>
  </si>
  <si>
    <t>Black</t>
  </si>
  <si>
    <t>Asian</t>
  </si>
  <si>
    <t>Native American</t>
  </si>
  <si>
    <t>Hawaiian/PI</t>
  </si>
  <si>
    <t>Other</t>
  </si>
  <si>
    <t>Multiple Race</t>
  </si>
  <si>
    <t>Hispanic</t>
  </si>
  <si>
    <t>Base Age 15+</t>
  </si>
  <si>
    <t>Never Married</t>
  </si>
  <si>
    <t>Now Married</t>
  </si>
  <si>
    <t>Separated</t>
  </si>
  <si>
    <t>Widowed</t>
  </si>
  <si>
    <t>Divorced</t>
  </si>
  <si>
    <t>Base Age 25+</t>
  </si>
  <si>
    <t>Less Than Grade 9</t>
  </si>
  <si>
    <t>Some High School</t>
  </si>
  <si>
    <t>High School</t>
  </si>
  <si>
    <t>Some College</t>
  </si>
  <si>
    <t>Associate Degree</t>
  </si>
  <si>
    <t>Bachelors Degree</t>
  </si>
  <si>
    <t>Graduate Degree</t>
  </si>
  <si>
    <t xml:space="preserve">POPULATION </t>
  </si>
  <si>
    <t>LABOR FORCE</t>
  </si>
  <si>
    <t>In Armed Forces</t>
  </si>
  <si>
    <t>Employed</t>
  </si>
  <si>
    <t>Unemployed</t>
  </si>
  <si>
    <t>Not In Labor Force</t>
  </si>
  <si>
    <t>Unemployment Rate</t>
  </si>
  <si>
    <t>Agriculture</t>
  </si>
  <si>
    <t>Mining</t>
  </si>
  <si>
    <t>Construction</t>
  </si>
  <si>
    <t>Manufacturing</t>
  </si>
  <si>
    <t>Wholesale Trade</t>
  </si>
  <si>
    <t>Retail Trade</t>
  </si>
  <si>
    <t>Transportation</t>
  </si>
  <si>
    <t>Utilities</t>
  </si>
  <si>
    <t>Information</t>
  </si>
  <si>
    <t>Finance &amp; Insurance</t>
  </si>
  <si>
    <t>Real Estate</t>
  </si>
  <si>
    <t>Management Services</t>
  </si>
  <si>
    <t>Education</t>
  </si>
  <si>
    <t>Health Care</t>
  </si>
  <si>
    <t>Public Administration</t>
  </si>
  <si>
    <t>Private For Profit</t>
  </si>
  <si>
    <t>Private Not-For-Profit</t>
  </si>
  <si>
    <t>Local Government</t>
  </si>
  <si>
    <t>State Government</t>
  </si>
  <si>
    <t>Federal Government</t>
  </si>
  <si>
    <t>Arts &amp; Entertainment</t>
  </si>
  <si>
    <t>Administrative Support</t>
  </si>
  <si>
    <t>Food and Hospitality</t>
  </si>
  <si>
    <t>Other Services</t>
  </si>
  <si>
    <t>Professional &amp; Technical</t>
  </si>
  <si>
    <t>Self-Employed (Not Inc.)</t>
  </si>
  <si>
    <t>Self-Employed (Inc.)</t>
  </si>
  <si>
    <t>Unpaid Family Workers</t>
  </si>
  <si>
    <t>1990</t>
  </si>
  <si>
    <t>2000</t>
  </si>
  <si>
    <t>2010</t>
  </si>
  <si>
    <t>Population 2020</t>
  </si>
  <si>
    <t>HOUSEHOLDS</t>
  </si>
  <si>
    <t>Family Households</t>
  </si>
  <si>
    <t>Non-Family Households</t>
  </si>
  <si>
    <t>Married w Children</t>
  </si>
  <si>
    <t>Lone Parent Male w Child</t>
  </si>
  <si>
    <t>Lone Parent Fem w Child</t>
  </si>
  <si>
    <t>Married No Children</t>
  </si>
  <si>
    <t>Lone Parent Male No Child</t>
  </si>
  <si>
    <t>Lone Parent Fem No Child</t>
  </si>
  <si>
    <t>Average Size</t>
  </si>
  <si>
    <t>1 Person</t>
  </si>
  <si>
    <t>2 Persons</t>
  </si>
  <si>
    <t>3 Persons</t>
  </si>
  <si>
    <t>4 Persons</t>
  </si>
  <si>
    <t>5 Persons</t>
  </si>
  <si>
    <t>6 Persons</t>
  </si>
  <si>
    <t>7+ Persons</t>
  </si>
  <si>
    <t>Age &lt;25</t>
  </si>
  <si>
    <t>Age 25-34</t>
  </si>
  <si>
    <t>Age 35-44</t>
  </si>
  <si>
    <t>Age 45-54</t>
  </si>
  <si>
    <t>Age 55-64</t>
  </si>
  <si>
    <t>Age 65-74</t>
  </si>
  <si>
    <t>Age 75-85</t>
  </si>
  <si>
    <t>Age &gt;85</t>
  </si>
  <si>
    <t>None</t>
  </si>
  <si>
    <t>2+</t>
  </si>
  <si>
    <t>1</t>
  </si>
  <si>
    <t>English</t>
  </si>
  <si>
    <t>Spanish (Not Isolated)</t>
  </si>
  <si>
    <t>Spanish (Isolated)</t>
  </si>
  <si>
    <t>Other Indo-Eur (Not Isol)</t>
  </si>
  <si>
    <t>Other Indo-Eur (Isol)</t>
  </si>
  <si>
    <t>Asian (Not Isolated)</t>
  </si>
  <si>
    <t>Asian (Isolated)</t>
  </si>
  <si>
    <t>Other Language (Not Isol)</t>
  </si>
  <si>
    <t>Other Language (Isol)</t>
  </si>
  <si>
    <t>Linguistically Isolated</t>
  </si>
  <si>
    <t>INCOME</t>
  </si>
  <si>
    <t>Median Household</t>
  </si>
  <si>
    <t>Median Family</t>
  </si>
  <si>
    <t>Per Capita</t>
  </si>
  <si>
    <t>Average Net Worth</t>
  </si>
  <si>
    <t>&lt;25</t>
  </si>
  <si>
    <t>25-34</t>
  </si>
  <si>
    <t>35-44</t>
  </si>
  <si>
    <t>45-54</t>
  </si>
  <si>
    <t>55-64</t>
  </si>
  <si>
    <t>65-74</t>
  </si>
  <si>
    <t>&gt;75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</si>
  <si>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</si>
  <si>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</si>
  <si>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</si>
  <si>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</si>
  <si>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</si>
  <si>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</si>
  <si>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</si>
  <si>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$50,000</t>
  </si>
  <si>
    <t>$50,000 to $60,000</t>
  </si>
  <si>
    <t>$60,000 to $75,000</t>
  </si>
  <si>
    <t>$100,000 to $124,999</t>
  </si>
  <si>
    <t>$75,000 to $99,999</t>
  </si>
  <si>
    <t>$125,000 to $149,999</t>
  </si>
  <si>
    <t>$150,000 to $199,999</t>
  </si>
  <si>
    <t>Over $200,000</t>
  </si>
  <si>
    <t>Under $10,000</t>
  </si>
  <si>
    <t>DWELLINGS</t>
  </si>
  <si>
    <t>3-4 Units</t>
  </si>
  <si>
    <t>OCCUPANCY STATUS</t>
  </si>
  <si>
    <t>BY HOUSEHOLD TYPE</t>
  </si>
  <si>
    <t>BY AGE</t>
  </si>
  <si>
    <t>BY SEX</t>
  </si>
  <si>
    <t>HISTORICAL</t>
  </si>
  <si>
    <t>EDUCATIONAL ATTAINMENT</t>
  </si>
  <si>
    <t>MARITAL STATUS</t>
  </si>
  <si>
    <t>BY RACE AND HISPANIC ORIGIN</t>
  </si>
  <si>
    <t>CLASS OF WORKER (2010 ACS)</t>
  </si>
  <si>
    <t>OCCUPATION BY INDUSTRY (2010 ACS)</t>
  </si>
  <si>
    <t>HOUSEHOLD SIZE</t>
  </si>
  <si>
    <t>HOUSEHOLDS 2020</t>
  </si>
  <si>
    <t>HOUSEHOLD STRUCTURE</t>
  </si>
  <si>
    <t>FAMILY HOUSEHOLDS</t>
  </si>
  <si>
    <t>HOUSEHOLD AGE (HEAD)</t>
  </si>
  <si>
    <t>VEHICLES Per HOUSEHOLD</t>
  </si>
  <si>
    <t>LANGUAGE AT HOME (2010 ACS)</t>
  </si>
  <si>
    <t>INCOME BY AGE (HEAD)</t>
  </si>
  <si>
    <t>HOUSEHOLDS BY INCOME</t>
  </si>
  <si>
    <t>10-19 Units</t>
  </si>
  <si>
    <t>20-49 Units</t>
  </si>
  <si>
    <t>50+ Units</t>
  </si>
  <si>
    <t>Mobile Home</t>
  </si>
  <si>
    <t>UNITS IN STRUCTURE, RENTER OCCUPIED (2010 ACS)</t>
  </si>
  <si>
    <t>UNITS IN STRUCTURE, OWNER OCCUPIED (2010 ACS)</t>
  </si>
  <si>
    <t>UNITS IN STRUCTURE (2010 ACS)</t>
  </si>
  <si>
    <t>YEAR BUILT (2010 ACS)</t>
  </si>
  <si>
    <t>After 2005</t>
  </si>
  <si>
    <t>2000-2004</t>
  </si>
  <si>
    <t>1990-1999</t>
  </si>
  <si>
    <t>1980-1989</t>
  </si>
  <si>
    <t>1970-1979</t>
  </si>
  <si>
    <t>1960-1969</t>
  </si>
  <si>
    <t>1950-1959</t>
  </si>
  <si>
    <t>1940-1949</t>
  </si>
  <si>
    <t>Before 1940</t>
  </si>
  <si>
    <t>VALUE OF OWNER OCCUPIED HOUSING (2010 ACS)</t>
  </si>
  <si>
    <t>RENT (2010 ACS)</t>
  </si>
  <si>
    <t>No Cash Rent</t>
  </si>
  <si>
    <t>$250-$499</t>
  </si>
  <si>
    <t>&lt; $250</t>
  </si>
  <si>
    <t>$750-$999</t>
  </si>
  <si>
    <t>Median Rent</t>
  </si>
  <si>
    <t>$25,000-$49,999</t>
  </si>
  <si>
    <t>$100,000-$124,999</t>
  </si>
  <si>
    <t>$125,000-$149,999</t>
  </si>
  <si>
    <t>$150,000-$174,999</t>
  </si>
  <si>
    <t>$175,000-$199,999</t>
  </si>
  <si>
    <t>$200,000-$249,999</t>
  </si>
  <si>
    <t>$250,000-$299,999</t>
  </si>
  <si>
    <t>$300,000-$399,999</t>
  </si>
  <si>
    <t>$400,000-$499,999</t>
  </si>
  <si>
    <t>$500,000-$749,999</t>
  </si>
  <si>
    <t>$750,000-$999,999</t>
  </si>
  <si>
    <t>Over $1,000,000</t>
  </si>
  <si>
    <t>Median Value</t>
  </si>
  <si>
    <t>$10,000-$24,999</t>
  </si>
  <si>
    <t>$500-$749</t>
  </si>
  <si>
    <t>$1,250-$1,499</t>
  </si>
  <si>
    <t>$1,500-$1,999</t>
  </si>
  <si>
    <t>&gt; $2,000</t>
  </si>
  <si>
    <t>$1,000-$1,249</t>
  </si>
  <si>
    <t>$50,000-$69,999</t>
  </si>
  <si>
    <t>$70,000-$99,999</t>
  </si>
  <si>
    <t>CRIME</t>
  </si>
  <si>
    <t>Murder</t>
  </si>
  <si>
    <t xml:space="preserve">Rape </t>
  </si>
  <si>
    <t>Assault</t>
  </si>
  <si>
    <t>PERSONAL</t>
  </si>
  <si>
    <t>PROPERTY</t>
  </si>
  <si>
    <t>Robbery</t>
  </si>
  <si>
    <t>Burglary</t>
  </si>
  <si>
    <t>Larceny</t>
  </si>
  <si>
    <t>Motor Vehicle Theft</t>
  </si>
  <si>
    <t>QUALITY OF LIFE</t>
  </si>
  <si>
    <t>Economic</t>
  </si>
  <si>
    <t>Health</t>
  </si>
  <si>
    <t>Community</t>
  </si>
  <si>
    <t>Leisure</t>
  </si>
  <si>
    <t>Physical Attributes</t>
  </si>
  <si>
    <t>DEMOGRAPHIC DIMENSIONS</t>
  </si>
  <si>
    <t>CONSUMER EXPENDITURES</t>
  </si>
  <si>
    <t>Affluence and Education</t>
  </si>
  <si>
    <t>Family Status</t>
  </si>
  <si>
    <t>Age</t>
  </si>
  <si>
    <t>Middle Class Housing</t>
  </si>
  <si>
    <t>White and Black</t>
  </si>
  <si>
    <t>Government Workers</t>
  </si>
  <si>
    <t>Mobile Homes and Older Housing</t>
  </si>
  <si>
    <t>College Students</t>
  </si>
  <si>
    <t>Expensive Housing</t>
  </si>
  <si>
    <t>Seasonal Housing</t>
  </si>
  <si>
    <t>New and Growth Areas</t>
  </si>
  <si>
    <t>Self Employed/Work At Home</t>
  </si>
  <si>
    <t>Urban Commuters</t>
  </si>
  <si>
    <t>Correctional Facilities</t>
  </si>
  <si>
    <t>Low Income Renters</t>
  </si>
  <si>
    <t>Retail Workers</t>
  </si>
  <si>
    <t>Health Care Workers</t>
  </si>
  <si>
    <t>Living Rent Free</t>
  </si>
  <si>
    <t>Miners</t>
  </si>
  <si>
    <t>Native Americans</t>
  </si>
  <si>
    <t>Farm Workers</t>
  </si>
  <si>
    <t>Firefighters</t>
  </si>
  <si>
    <t>Armed Forces</t>
  </si>
  <si>
    <t>Juevenile Homes</t>
  </si>
  <si>
    <t>Total</t>
  </si>
  <si>
    <t>Retail Sales</t>
  </si>
  <si>
    <t>Non-Retail Sales</t>
  </si>
  <si>
    <t>Apparel</t>
  </si>
  <si>
    <t>Entertainment</t>
  </si>
  <si>
    <t>Contributions</t>
  </si>
  <si>
    <t>Food and Beverage</t>
  </si>
  <si>
    <t>Housing</t>
  </si>
  <si>
    <t>Household Operations</t>
  </si>
  <si>
    <t>Household Products</t>
  </si>
  <si>
    <t>Miscellaneous</t>
  </si>
  <si>
    <t>Personal Care</t>
  </si>
  <si>
    <t>Personal Insurance</t>
  </si>
  <si>
    <t>Reading</t>
  </si>
  <si>
    <t>Tobacco</t>
  </si>
  <si>
    <t>Gifts</t>
  </si>
  <si>
    <t>z-Score</t>
  </si>
  <si>
    <t>Ave HH$</t>
  </si>
  <si>
    <t>DEBTS</t>
  </si>
  <si>
    <t>Transaction Accounts</t>
  </si>
  <si>
    <t>Certificates of Deposit</t>
  </si>
  <si>
    <t>Savings Bonds</t>
  </si>
  <si>
    <t>Bonds, Other</t>
  </si>
  <si>
    <t>Stocks</t>
  </si>
  <si>
    <t>Mutual Funds</t>
  </si>
  <si>
    <t>Retirement Accounts</t>
  </si>
  <si>
    <t>Cash Value Life Insurance</t>
  </si>
  <si>
    <t>Other Managed Accounts</t>
  </si>
  <si>
    <t>Other Financial Assets</t>
  </si>
  <si>
    <t>Vehicles Owned</t>
  </si>
  <si>
    <t>Secondary Home Equity</t>
  </si>
  <si>
    <t>Investment Property</t>
  </si>
  <si>
    <t>Home Equity</t>
  </si>
  <si>
    <t>Business Equity</t>
  </si>
  <si>
    <t>Other Non-Financial Assets</t>
  </si>
  <si>
    <t>Mortgage</t>
  </si>
  <si>
    <t>Installment Loans</t>
  </si>
  <si>
    <t>Credit Cards</t>
  </si>
  <si>
    <t>Investment Real Estate</t>
  </si>
  <si>
    <t>Other Debt</t>
  </si>
  <si>
    <t>FINANCIAL ASSETS</t>
  </si>
  <si>
    <t>NON-FINANCIAL ASSETS</t>
  </si>
  <si>
    <t>% Pop</t>
  </si>
  <si>
    <t>% Pop 15+</t>
  </si>
  <si>
    <t>% Pop 25+</t>
  </si>
  <si>
    <t>% Empl</t>
  </si>
  <si>
    <t>% Hhlds</t>
  </si>
  <si>
    <t>% Fam</t>
  </si>
  <si>
    <t>% Dwell</t>
  </si>
  <si>
    <t>%Rent Dwl</t>
  </si>
  <si>
    <t>* Detailed dwelling characteristics data from 2006-2010 ACS block group level.</t>
  </si>
  <si>
    <t>RENT *</t>
  </si>
  <si>
    <t>YEAR BUILT *</t>
  </si>
  <si>
    <t>UNITS IN STRUCTURE *</t>
  </si>
  <si>
    <t>% Own Occ</t>
  </si>
  <si>
    <t>%Own Occ</t>
  </si>
  <si>
    <t>%Rent Occ</t>
  </si>
  <si>
    <t>% Expend</t>
  </si>
  <si>
    <t>% Assets</t>
  </si>
  <si>
    <t>% Debts</t>
  </si>
  <si>
    <t>INSTRUCTIONS</t>
  </si>
  <si>
    <t>Select a segment by entering its number (1-68) in the title area</t>
  </si>
  <si>
    <t>Seasonally Vacant (2010)</t>
  </si>
  <si>
    <t>Enduring Heartland</t>
  </si>
  <si>
    <t>AREA</t>
  </si>
  <si>
    <t>DENSITY</t>
  </si>
  <si>
    <t>Area</t>
  </si>
  <si>
    <t>Area (Sq Miles)</t>
  </si>
  <si>
    <t>Density</t>
  </si>
  <si>
    <t>POPULATION BY AGE</t>
  </si>
  <si>
    <t>POPULATION BY SEX</t>
  </si>
  <si>
    <t>HISTORICAL POPULATION</t>
  </si>
  <si>
    <t>VEHICLES PER HOUSEHOLD</t>
  </si>
  <si>
    <t>CONSUMER SPENDING</t>
  </si>
  <si>
    <t>RACE/HISPANIC ORIGIN</t>
  </si>
  <si>
    <t>EDUCATION</t>
  </si>
  <si>
    <t>OCCUPATION (2010 ACS)</t>
  </si>
  <si>
    <t>WORKER TYPE (2010 ACS)</t>
  </si>
  <si>
    <t>LANGUAGE (2010 ACS)</t>
  </si>
  <si>
    <t>DWELLING TYPE/OWN *</t>
  </si>
  <si>
    <t>DWELLING TYPE/RENT *</t>
  </si>
  <si>
    <t>HOUSING VALUE (OWN) *</t>
  </si>
  <si>
    <t>DEMOG DIMENSIONS</t>
  </si>
  <si>
    <t>HOUSEHOLDS 2024</t>
  </si>
  <si>
    <t>POPULATION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</si>
</sst>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164" formatCode="0.0000"/>
    <numFmt numFmtId="165" formatCode="0.000"/>
    <numFmt numFmtId="166" formatCode="00"/>
    <numFmt numFmtId="167" formatCode="#,##0.0"/>
    <numFmt numFmtId="168" formatCode="_(&quot;$&quot;* #,##0_);_(&quot;$&quot;* \(#,##0\);_(&quot;$&quot;* &quot;-&quot;??_);_(@_)"/>
    <numFmt numFmtId="169" formatCode="&quot;$&quot;#,##0"/>
    <numFmt numFmtId="170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/>
      <diagonal/>
    </border>
    <border>
      <left/>
      <right/>
      <top style="medium">
        <color theme="4" tint="0.59996337778862885"/>
      </top>
      <bottom/>
      <diagonal/>
    </border>
    <border>
      <left style="medium">
        <color theme="4" tint="0.59996337778862885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1" xfId="2" applyFont="1" applyFill="1" applyBorder="1" applyAlignment="1">
      <alignment wrapText="1"/>
    </xf>
    <xf numFmtId="0" fontId="6" fillId="0" borderId="0" xfId="0" applyFont="1"/>
    <xf numFmtId="0" fontId="0" fillId="0" borderId="0" xfId="0" applyFont="1"/>
    <xf numFmtId="166" fontId="5" fillId="0" borderId="0" xfId="0" applyNumberFormat="1" applyFont="1" applyAlignment="1">
      <alignment horizontal="center"/>
    </xf>
    <xf numFmtId="0" fontId="0" fillId="0" borderId="2" xfId="0" applyFont="1" applyBorder="1"/>
    <xf numFmtId="10" fontId="6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0" xfId="0" quotePrefix="1" applyFont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4" fillId="0" borderId="0" xfId="0" applyFont="1" applyBorder="1"/>
    <xf numFmtId="168" fontId="6" fillId="0" borderId="0" xfId="1" applyNumberFormat="1" applyFont="1"/>
    <xf numFmtId="0" fontId="6" fillId="0" borderId="5" xfId="0" applyFont="1" applyBorder="1"/>
    <xf numFmtId="0" fontId="6" fillId="0" borderId="6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4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6" fontId="6" fillId="0" borderId="9" xfId="0" quotePrefix="1" applyNumberFormat="1" applyFont="1" applyBorder="1"/>
    <xf numFmtId="167" fontId="6" fillId="0" borderId="0" xfId="0" applyNumberFormat="1" applyFont="1" applyBorder="1"/>
    <xf numFmtId="0" fontId="6" fillId="0" borderId="9" xfId="0" quotePrefix="1" applyFont="1" applyBorder="1"/>
    <xf numFmtId="0" fontId="4" fillId="2" borderId="7" xfId="0" applyFont="1" applyFill="1" applyBorder="1"/>
    <xf numFmtId="3" fontId="6" fillId="0" borderId="8" xfId="0" applyNumberFormat="1" applyFont="1" applyBorder="1"/>
    <xf numFmtId="10" fontId="6" fillId="0" borderId="8" xfId="0" applyNumberFormat="1" applyFont="1" applyBorder="1"/>
    <xf numFmtId="3" fontId="4" fillId="0" borderId="8" xfId="0" applyNumberFormat="1" applyFont="1" applyBorder="1"/>
    <xf numFmtId="10" fontId="4" fillId="0" borderId="8" xfId="0" applyNumberFormat="1" applyFont="1" applyBorder="1"/>
    <xf numFmtId="4" fontId="6" fillId="0" borderId="0" xfId="0" applyNumberFormat="1" applyFont="1" applyBorder="1"/>
    <xf numFmtId="0" fontId="4" fillId="0" borderId="8" xfId="0" applyFont="1" applyBorder="1"/>
    <xf numFmtId="168" fontId="6" fillId="0" borderId="0" xfId="1" applyNumberFormat="1" applyFont="1" applyBorder="1"/>
    <xf numFmtId="10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/>
    <xf numFmtId="0" fontId="6" fillId="2" borderId="8" xfId="0" applyFont="1" applyFill="1" applyBorder="1"/>
    <xf numFmtId="0" fontId="7" fillId="0" borderId="8" xfId="0" applyFont="1" applyBorder="1" applyAlignment="1">
      <alignment horizontal="center"/>
    </xf>
    <xf numFmtId="170" fontId="6" fillId="0" borderId="0" xfId="0" applyNumberFormat="1" applyFont="1" applyBorder="1"/>
    <xf numFmtId="169" fontId="6" fillId="0" borderId="8" xfId="0" applyNumberFormat="1" applyFont="1" applyBorder="1"/>
    <xf numFmtId="0" fontId="6" fillId="2" borderId="4" xfId="0" applyFont="1" applyFill="1" applyBorder="1"/>
    <xf numFmtId="169" fontId="6" fillId="0" borderId="5" xfId="0" applyNumberFormat="1" applyFont="1" applyBorder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3" fontId="6" fillId="0" borderId="0" xfId="0" applyNumberFormat="1" applyFont="1" applyBorder="1" applyProtection="1"/>
    <xf numFmtId="10" fontId="6" fillId="0" borderId="0" xfId="0" applyNumberFormat="1" applyFont="1" applyBorder="1" applyProtection="1"/>
    <xf numFmtId="1" fontId="6" fillId="0" borderId="0" xfId="0" applyNumberFormat="1" applyFont="1" applyBorder="1" applyProtection="1"/>
    <xf numFmtId="167" fontId="6" fillId="0" borderId="0" xfId="0" applyNumberFormat="1" applyFont="1" applyBorder="1" applyProtection="1"/>
    <xf numFmtId="10" fontId="4" fillId="0" borderId="0" xfId="0" applyNumberFormat="1" applyFont="1" applyBorder="1" applyProtection="1"/>
    <xf numFmtId="4" fontId="6" fillId="0" borderId="0" xfId="0" applyNumberFormat="1" applyFont="1" applyBorder="1" applyProtection="1"/>
    <xf numFmtId="168" fontId="6" fillId="0" borderId="0" xfId="1" applyNumberFormat="1" applyFont="1" applyBorder="1" applyProtection="1"/>
    <xf numFmtId="10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Border="1" applyProtection="1"/>
    <xf numFmtId="3" fontId="4" fillId="0" borderId="0" xfId="0" applyNumberFormat="1" applyFont="1" applyBorder="1" applyProtection="1"/>
    <xf numFmtId="10" fontId="4" fillId="0" borderId="0" xfId="0" applyNumberFormat="1" applyFont="1" applyBorder="1"/>
    <xf numFmtId="0" fontId="4" fillId="0" borderId="0" xfId="0" applyFont="1" applyFill="1" applyBorder="1"/>
    <xf numFmtId="1" fontId="6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center"/>
    </xf>
    <xf numFmtId="0" fontId="0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/>
    <xf numFmtId="16" fontId="6" fillId="0" borderId="0" xfId="0" quotePrefix="1" applyNumberFormat="1" applyFont="1" applyBorder="1" applyProtection="1"/>
    <xf numFmtId="0" fontId="6" fillId="0" borderId="0" xfId="0" quotePrefix="1" applyFont="1" applyBorder="1" applyProtection="1"/>
    <xf numFmtId="10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170" fontId="6" fillId="0" borderId="0" xfId="0" applyNumberFormat="1" applyFont="1" applyBorder="1" applyProtection="1"/>
    <xf numFmtId="0" fontId="6" fillId="0" borderId="0" xfId="0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4" borderId="0" xfId="0" applyFont="1" applyFill="1" applyBorder="1" applyProtection="1"/>
    <xf numFmtId="0" fontId="4" fillId="3" borderId="0" xfId="0" applyFont="1" applyFill="1" applyBorder="1" applyProtection="1"/>
    <xf numFmtId="166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Raw Data" xfId="2" xr:uid="{00000000-0005-0000-0000-000002000000}"/>
  </cellStyles>
  <dxfs count="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</dxfs>
  <tableStyles count="1" defaultTableStyle="TableStyleMedium2" defaultPivotStyle="PivotStyleLight16">
    <tableStyle name="Panorama Demographics" pivot="0" count="4" xr9:uid="{00000000-0011-0000-FFFF-FFFF00000000}">
      <tableStyleElement type="wholeTable" dxfId="3"/>
      <tableStyleElement type="header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981075</xdr:colOff>
      <xdr:row>2</xdr:row>
      <xdr:rowOff>69342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914400" cy="50749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60</xdr:row>
      <xdr:rowOff>0</xdr:rowOff>
    </xdr:from>
    <xdr:to>
      <xdr:col>0</xdr:col>
      <xdr:colOff>981075</xdr:colOff>
      <xdr:row>62</xdr:row>
      <xdr:rowOff>31242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791700"/>
          <a:ext cx="914400" cy="50749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119</xdr:row>
      <xdr:rowOff>152400</xdr:rowOff>
    </xdr:from>
    <xdr:to>
      <xdr:col>0</xdr:col>
      <xdr:colOff>971550</xdr:colOff>
      <xdr:row>122</xdr:row>
      <xdr:rowOff>21717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650075"/>
          <a:ext cx="914400" cy="50749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180</xdr:row>
      <xdr:rowOff>9525</xdr:rowOff>
    </xdr:from>
    <xdr:to>
      <xdr:col>0</xdr:col>
      <xdr:colOff>971550</xdr:colOff>
      <xdr:row>182</xdr:row>
      <xdr:rowOff>40767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9537025"/>
          <a:ext cx="914400" cy="507492"/>
        </a:xfrm>
        <a:prstGeom prst="rect">
          <a:avLst/>
        </a:prstGeom>
      </xdr:spPr>
    </xdr:pic>
    <xdr:clientData/>
  </xdr:twoCellAnchor>
  <xdr:twoCellAnchor editAs="oneCell">
    <xdr:from>
      <xdr:col>7</xdr:col>
      <xdr:colOff>177800</xdr:colOff>
      <xdr:row>0</xdr:row>
      <xdr:rowOff>104775</xdr:rowOff>
    </xdr:from>
    <xdr:to>
      <xdr:col>8</xdr:col>
      <xdr:colOff>497416</xdr:colOff>
      <xdr:row>1</xdr:row>
      <xdr:rowOff>219075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0" y="104775"/>
          <a:ext cx="900641" cy="35242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60</xdr:row>
      <xdr:rowOff>57150</xdr:rowOff>
    </xdr:from>
    <xdr:to>
      <xdr:col>8</xdr:col>
      <xdr:colOff>443441</xdr:colOff>
      <xdr:row>61</xdr:row>
      <xdr:rowOff>171450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9848850"/>
          <a:ext cx="900641" cy="352425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120</xdr:row>
      <xdr:rowOff>38100</xdr:rowOff>
    </xdr:from>
    <xdr:to>
      <xdr:col>8</xdr:col>
      <xdr:colOff>481541</xdr:colOff>
      <xdr:row>121</xdr:row>
      <xdr:rowOff>152400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9697700"/>
          <a:ext cx="900641" cy="35242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180</xdr:row>
      <xdr:rowOff>38100</xdr:rowOff>
    </xdr:from>
    <xdr:to>
      <xdr:col>8</xdr:col>
      <xdr:colOff>491066</xdr:colOff>
      <xdr:row>181</xdr:row>
      <xdr:rowOff>152400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29565600"/>
          <a:ext cx="900641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57150</xdr:rowOff>
    </xdr:from>
    <xdr:to>
      <xdr:col>0</xdr:col>
      <xdr:colOff>1028701</xdr:colOff>
      <xdr:row>2</xdr:row>
      <xdr:rowOff>45300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57150"/>
          <a:ext cx="981074" cy="3691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0</xdr:row>
      <xdr:rowOff>47625</xdr:rowOff>
    </xdr:from>
    <xdr:to>
      <xdr:col>8</xdr:col>
      <xdr:colOff>514349</xdr:colOff>
      <xdr:row>2</xdr:row>
      <xdr:rowOff>58016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7625"/>
          <a:ext cx="1076324" cy="391391"/>
        </a:xfrm>
        <a:prstGeom prst="rect">
          <a:avLst/>
        </a:prstGeom>
      </xdr:spPr>
    </xdr:pic>
    <xdr:clientData/>
  </xdr:twoCellAnchor>
  <xdr:oneCellAnchor>
    <xdr:from>
      <xdr:col>0</xdr:col>
      <xdr:colOff>47627</xdr:colOff>
      <xdr:row>63</xdr:row>
      <xdr:rowOff>57150</xdr:rowOff>
    </xdr:from>
    <xdr:ext cx="981074" cy="3691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10182225"/>
          <a:ext cx="981074" cy="369150"/>
        </a:xfrm>
        <a:prstGeom prst="rect">
          <a:avLst/>
        </a:prstGeom>
      </xdr:spPr>
    </xdr:pic>
    <xdr:clientData/>
  </xdr:oneCellAnchor>
  <xdr:oneCellAnchor>
    <xdr:from>
      <xdr:col>7</xdr:col>
      <xdr:colOff>19050</xdr:colOff>
      <xdr:row>63</xdr:row>
      <xdr:rowOff>47625</xdr:rowOff>
    </xdr:from>
    <xdr:ext cx="1076324" cy="391391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0172700"/>
          <a:ext cx="1076324" cy="391391"/>
        </a:xfrm>
        <a:prstGeom prst="rect">
          <a:avLst/>
        </a:prstGeom>
      </xdr:spPr>
    </xdr:pic>
    <xdr:clientData/>
  </xdr:oneCellAnchor>
  <xdr:oneCellAnchor>
    <xdr:from>
      <xdr:col>0</xdr:col>
      <xdr:colOff>47627</xdr:colOff>
      <xdr:row>123</xdr:row>
      <xdr:rowOff>57150</xdr:rowOff>
    </xdr:from>
    <xdr:ext cx="981074" cy="3691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20221575"/>
          <a:ext cx="981074" cy="369150"/>
        </a:xfrm>
        <a:prstGeom prst="rect">
          <a:avLst/>
        </a:prstGeom>
      </xdr:spPr>
    </xdr:pic>
    <xdr:clientData/>
  </xdr:oneCellAnchor>
  <xdr:oneCellAnchor>
    <xdr:from>
      <xdr:col>7</xdr:col>
      <xdr:colOff>19050</xdr:colOff>
      <xdr:row>123</xdr:row>
      <xdr:rowOff>47625</xdr:rowOff>
    </xdr:from>
    <xdr:ext cx="1076324" cy="391391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0212050"/>
          <a:ext cx="1076324" cy="391391"/>
        </a:xfrm>
        <a:prstGeom prst="rect">
          <a:avLst/>
        </a:prstGeom>
      </xdr:spPr>
    </xdr:pic>
    <xdr:clientData/>
  </xdr:oneCellAnchor>
  <xdr:oneCellAnchor>
    <xdr:from>
      <xdr:col>0</xdr:col>
      <xdr:colOff>47627</xdr:colOff>
      <xdr:row>183</xdr:row>
      <xdr:rowOff>57150</xdr:rowOff>
    </xdr:from>
    <xdr:ext cx="981074" cy="369150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30222825"/>
          <a:ext cx="981074" cy="369150"/>
        </a:xfrm>
        <a:prstGeom prst="rect">
          <a:avLst/>
        </a:prstGeom>
      </xdr:spPr>
    </xdr:pic>
    <xdr:clientData/>
  </xdr:oneCellAnchor>
  <xdr:oneCellAnchor>
    <xdr:from>
      <xdr:col>7</xdr:col>
      <xdr:colOff>19050</xdr:colOff>
      <xdr:row>183</xdr:row>
      <xdr:rowOff>47625</xdr:rowOff>
    </xdr:from>
    <xdr:ext cx="1076324" cy="391391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30213300"/>
          <a:ext cx="1076324" cy="3913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7"/>
  <sheetViews>
    <sheetView tabSelected="1" zoomScaleNormal="100" workbookViewId="0">
      <selection activeCell="B2" sqref="B2:G2"/>
    </sheetView>
  </sheetViews>
  <sheetFormatPr defaultRowHeight="15" x14ac:dyDescent="0.25"/>
  <cols>
    <col min="1" max="1" width="20.7109375" style="61" customWidth="1"/>
    <col min="2" max="2" width="11.7109375" style="61" customWidth="1"/>
    <col min="3" max="3" width="8.7109375" style="61" customWidth="1"/>
    <col min="4" max="4" width="7.7109375" style="61" customWidth="1"/>
    <col min="5" max="5" width="2.7109375" style="61" customWidth="1"/>
    <col min="6" max="6" width="20.7109375" style="61" customWidth="1"/>
    <col min="7" max="7" width="11.7109375" style="61" customWidth="1"/>
    <col min="8" max="8" width="8.7109375" style="61" customWidth="1"/>
    <col min="9" max="9" width="7.7109375" style="61" customWidth="1"/>
    <col min="10" max="16384" width="9.140625" style="61"/>
  </cols>
  <sheetData>
    <row r="1" spans="1:11" ht="18.75" x14ac:dyDescent="0.3">
      <c r="B1" s="74">
        <v>1</v>
      </c>
      <c r="C1" s="74"/>
      <c r="D1" s="74"/>
      <c r="E1" s="74"/>
      <c r="F1" s="74"/>
      <c r="G1" s="74"/>
      <c r="H1" s="60"/>
      <c r="I1" s="60"/>
      <c r="K1" s="61" t="s">
        <v>786</v>
      </c>
    </row>
    <row r="2" spans="1:11" ht="18.75" x14ac:dyDescent="0.3">
      <c r="B2" s="75" t="str">
        <f>INDEX('Raw Data'!$B$2:$IV$69,$B$1,1)</f>
        <v>One Percenters</v>
      </c>
      <c r="C2" s="75"/>
      <c r="D2" s="75"/>
      <c r="E2" s="75"/>
      <c r="F2" s="75"/>
      <c r="G2" s="75"/>
      <c r="H2" s="62"/>
      <c r="I2" s="62"/>
      <c r="K2" s="61" t="s">
        <v>787</v>
      </c>
    </row>
    <row r="3" spans="1:11" s="44" customFormat="1" ht="6.75" customHeight="1" x14ac:dyDescent="0.2"/>
    <row r="4" spans="1:11" s="44" customFormat="1" ht="12.75" x14ac:dyDescent="0.2">
      <c r="C4" s="45" t="s">
        <v>392</v>
      </c>
      <c r="D4" s="45" t="s">
        <v>465</v>
      </c>
      <c r="H4" s="45" t="s">
        <v>392</v>
      </c>
      <c r="I4" s="45"/>
    </row>
    <row r="5" spans="1:11" s="44" customFormat="1" ht="12.75" x14ac:dyDescent="0.2">
      <c r="A5" s="72" t="s">
        <v>513</v>
      </c>
      <c r="B5" s="56">
        <f>INDEX('Raw Data'!$C$2:$LO$69,$B$1,4)</f>
        <v>4047677</v>
      </c>
      <c r="C5" s="51">
        <f>B5/INDEX('Raw Data'!$C$2:$LO$71,70,4)</f>
        <v>1.2541750039707349E-2</v>
      </c>
      <c r="D5" s="51"/>
      <c r="E5" s="46"/>
      <c r="F5" s="73" t="s">
        <v>810</v>
      </c>
      <c r="G5" s="47">
        <f>INDEX('Raw Data'!$C$2:$LO$69,$B$1,5)</f>
        <v>4138967</v>
      </c>
      <c r="H5" s="48">
        <f>G5/INDEX('Raw Data'!$C$2:$LO$71,70,5)</f>
        <v>1.2326452939735047E-2</v>
      </c>
    </row>
    <row r="6" spans="1:11" s="44" customFormat="1" ht="12.75" x14ac:dyDescent="0.2">
      <c r="A6" s="63" t="s">
        <v>793</v>
      </c>
      <c r="B6" s="47">
        <f>INDEX('Raw Data'!$C$2:$LQ$69,$B$1,326)</f>
        <v>3980.1430700000001</v>
      </c>
      <c r="C6" s="48">
        <f>B6/INDEX('Raw Data'!$C$2:$LQ$71,70,326)</f>
        <v>1.1269109748264783E-3</v>
      </c>
      <c r="D6" s="51"/>
      <c r="E6" s="46"/>
      <c r="F6" s="46"/>
      <c r="G6" s="47"/>
      <c r="H6" s="48"/>
    </row>
    <row r="7" spans="1:11" s="44" customFormat="1" ht="12.75" x14ac:dyDescent="0.2">
      <c r="A7" s="63" t="s">
        <v>794</v>
      </c>
      <c r="B7" s="50">
        <f>INDEX('Raw Data'!$C$2:$LQ$69,$B$1,327)</f>
        <v>854.76324</v>
      </c>
      <c r="C7" s="51"/>
      <c r="D7" s="59">
        <f>INT(100*B7/US_Totals!B7)</f>
        <v>935</v>
      </c>
      <c r="E7" s="46"/>
      <c r="F7" s="73" t="s">
        <v>800</v>
      </c>
      <c r="G7" s="69"/>
      <c r="H7" s="45" t="s">
        <v>768</v>
      </c>
      <c r="I7" s="45" t="s">
        <v>465</v>
      </c>
    </row>
    <row r="8" spans="1:11" s="44" customFormat="1" ht="12.75" x14ac:dyDescent="0.2">
      <c r="F8" s="44" t="s">
        <v>491</v>
      </c>
      <c r="G8" s="47">
        <f>INDEX('Raw Data'!$C$2:$LO$69,$B$1,44)</f>
        <v>3160843</v>
      </c>
      <c r="H8" s="48">
        <f t="shared" ref="H8:H15" si="0">G8/B$5</f>
        <v>0.78090297224803262</v>
      </c>
      <c r="I8" s="49">
        <f>100*H8/US_Totals!H10</f>
        <v>126.86717423171299</v>
      </c>
    </row>
    <row r="9" spans="1:11" s="44" customFormat="1" ht="12.75" x14ac:dyDescent="0.2">
      <c r="A9" s="73" t="s">
        <v>621</v>
      </c>
      <c r="B9" s="69"/>
      <c r="F9" s="44" t="s">
        <v>492</v>
      </c>
      <c r="G9" s="47">
        <f>INDEX('Raw Data'!$C$2:$LO$69,$B$1,45)</f>
        <v>142552</v>
      </c>
      <c r="H9" s="48">
        <f t="shared" si="0"/>
        <v>3.5218225169646691E-2</v>
      </c>
      <c r="I9" s="49">
        <f>100*H9/US_Totals!H11</f>
        <v>27.631455823973884</v>
      </c>
    </row>
    <row r="10" spans="1:11" s="44" customFormat="1" ht="12.75" x14ac:dyDescent="0.2">
      <c r="A10" s="44" t="s">
        <v>474</v>
      </c>
      <c r="B10" s="47">
        <f>INDEX('Raw Data'!$C$2:$LO$69,$B$1,18)</f>
        <v>3635133</v>
      </c>
      <c r="C10" s="48">
        <f>B10/B$5</f>
        <v>0.89807882397730843</v>
      </c>
      <c r="D10" s="49">
        <f>100*C10/US_Totals!C10</f>
        <v>111.13402756024414</v>
      </c>
      <c r="F10" s="44" t="s">
        <v>494</v>
      </c>
      <c r="G10" s="47">
        <f>INDEX('Raw Data'!$C$2:$LO$69,$B$1,46)</f>
        <v>4506</v>
      </c>
      <c r="H10" s="48">
        <f t="shared" si="0"/>
        <v>1.1132311199732587E-3</v>
      </c>
      <c r="I10" s="49">
        <f>100*H10/US_Totals!H12</f>
        <v>20.885470196091124</v>
      </c>
    </row>
    <row r="11" spans="1:11" s="44" customFormat="1" ht="12.75" x14ac:dyDescent="0.2">
      <c r="A11" s="44" t="s">
        <v>475</v>
      </c>
      <c r="B11" s="47">
        <f>INDEX('Raw Data'!$C$2:$LO$69,$B$1,19)</f>
        <v>367746</v>
      </c>
      <c r="C11" s="48">
        <f t="shared" ref="C11:C12" si="1">B11/B$5</f>
        <v>9.0853593307964053E-2</v>
      </c>
      <c r="D11" s="49">
        <f>100*C11/US_Totals!C11</f>
        <v>54.407649389381213</v>
      </c>
      <c r="F11" s="44" t="s">
        <v>493</v>
      </c>
      <c r="G11" s="47">
        <f>INDEX('Raw Data'!$C$2:$LO$69,$B$1,47)</f>
        <v>373851</v>
      </c>
      <c r="H11" s="48">
        <f t="shared" si="0"/>
        <v>9.2361865830697457E-2</v>
      </c>
      <c r="I11" s="49">
        <f>100*H11/US_Totals!H13</f>
        <v>169.95222771255436</v>
      </c>
    </row>
    <row r="12" spans="1:11" s="44" customFormat="1" ht="12.75" x14ac:dyDescent="0.2">
      <c r="A12" s="44" t="s">
        <v>476</v>
      </c>
      <c r="B12" s="47">
        <f>INDEX('Raw Data'!$C$2:$LO$69,$B$1,20)</f>
        <v>44798</v>
      </c>
      <c r="C12" s="48">
        <f t="shared" si="1"/>
        <v>1.1067582714727485E-2</v>
      </c>
      <c r="D12" s="49">
        <f>100*C12/US_Totals!C12</f>
        <v>44.432193478086006</v>
      </c>
      <c r="F12" s="44" t="s">
        <v>495</v>
      </c>
      <c r="G12" s="47">
        <f>INDEX('Raw Data'!$C$2:$LO$69,$B$1,48)</f>
        <v>1647</v>
      </c>
      <c r="H12" s="48">
        <f t="shared" si="0"/>
        <v>4.0690005650154397E-4</v>
      </c>
      <c r="I12" s="49">
        <f>100*H12/US_Totals!H14</f>
        <v>30.137486753161792</v>
      </c>
    </row>
    <row r="13" spans="1:11" s="44" customFormat="1" ht="12.75" x14ac:dyDescent="0.2">
      <c r="A13" s="44" t="s">
        <v>477</v>
      </c>
      <c r="B13" s="47">
        <f>INDEX('Raw Data'!$C$2:$LO$69,$B$1,21)</f>
        <v>13867</v>
      </c>
      <c r="C13" s="48">
        <f>B13/B$5</f>
        <v>3.4259156548311536E-3</v>
      </c>
      <c r="D13" s="49">
        <f>100*C13/US_Totals!C13</f>
        <v>42.140620868671903</v>
      </c>
      <c r="F13" s="44" t="s">
        <v>496</v>
      </c>
      <c r="G13" s="47">
        <f>INDEX('Raw Data'!$C$2:$LO$69,$B$1,49)</f>
        <v>4824</v>
      </c>
      <c r="H13" s="48">
        <f t="shared" si="0"/>
        <v>1.1917947010099867E-3</v>
      </c>
      <c r="I13" s="49">
        <f>100*H13/US_Totals!H15</f>
        <v>61.925389947626385</v>
      </c>
    </row>
    <row r="14" spans="1:11" s="44" customFormat="1" ht="12.75" x14ac:dyDescent="0.2">
      <c r="A14" s="44" t="s">
        <v>478</v>
      </c>
      <c r="B14" s="47">
        <f>INDEX('Raw Data'!$C$2:$LO$69,$B$1,22)</f>
        <v>378</v>
      </c>
      <c r="C14" s="48">
        <f>B14/B$5</f>
        <v>9.3386898213469114E-5</v>
      </c>
      <c r="D14" s="49">
        <f>100*C14/US_Totals!C14</f>
        <v>10.518625961735568</v>
      </c>
      <c r="F14" s="44" t="s">
        <v>497</v>
      </c>
      <c r="G14" s="47">
        <f>INDEX('Raw Data'!$C$2:$LO$69,$B$1,50)</f>
        <v>79898</v>
      </c>
      <c r="H14" s="48">
        <f t="shared" si="0"/>
        <v>1.9739223263121046E-2</v>
      </c>
      <c r="I14" s="49">
        <f>100*H14/US_Totals!H16</f>
        <v>91.898529633228151</v>
      </c>
    </row>
    <row r="15" spans="1:11" s="44" customFormat="1" ht="12.75" x14ac:dyDescent="0.2">
      <c r="D15" s="48"/>
      <c r="F15" s="44" t="s">
        <v>498</v>
      </c>
      <c r="G15" s="47">
        <f>INDEX('Raw Data'!$C$2:$LO$69,$B$1,51)</f>
        <v>279822</v>
      </c>
      <c r="H15" s="48">
        <f t="shared" si="0"/>
        <v>6.9131504317167594E-2</v>
      </c>
      <c r="I15" s="49">
        <f>100*H15/US_Totals!H17</f>
        <v>40.043091196841466</v>
      </c>
    </row>
    <row r="16" spans="1:11" s="44" customFormat="1" ht="12.75" x14ac:dyDescent="0.2">
      <c r="A16" s="73" t="s">
        <v>795</v>
      </c>
      <c r="C16" s="45" t="s">
        <v>768</v>
      </c>
      <c r="D16" s="45" t="s">
        <v>465</v>
      </c>
    </row>
    <row r="17" spans="1:9" s="44" customFormat="1" ht="12.75" x14ac:dyDescent="0.2">
      <c r="A17" s="44" t="s">
        <v>479</v>
      </c>
      <c r="B17" s="47">
        <f>INDEX('Raw Data'!$C$2:$LO$69,$B$1,24)+INDEX('Raw Data'!$C$2:$LO$69,$B$1,25)</f>
        <v>474096</v>
      </c>
      <c r="C17" s="48">
        <f t="shared" ref="C17:C25" si="2">B17/B$5</f>
        <v>0.1171279230037377</v>
      </c>
      <c r="D17" s="49">
        <f>100*C17/US_Totals!C17</f>
        <v>93.670698848486879</v>
      </c>
      <c r="F17" s="73" t="s">
        <v>626</v>
      </c>
      <c r="H17" s="45" t="s">
        <v>769</v>
      </c>
      <c r="I17" s="45" t="s">
        <v>465</v>
      </c>
    </row>
    <row r="18" spans="1:9" s="44" customFormat="1" ht="12.75" x14ac:dyDescent="0.2">
      <c r="A18" s="64" t="s">
        <v>480</v>
      </c>
      <c r="B18" s="47">
        <f>INDEX('Raw Data'!$C$2:$LO$69,$B$1,26)+INDEX('Raw Data'!$C$2:$LO$69,$B$1,27)</f>
        <v>585398</v>
      </c>
      <c r="C18" s="48">
        <f t="shared" si="2"/>
        <v>0.14462567047716504</v>
      </c>
      <c r="D18" s="49">
        <f>100*C18/US_Totals!C18</f>
        <v>110.34125030050001</v>
      </c>
      <c r="F18" s="44" t="s">
        <v>499</v>
      </c>
      <c r="G18" s="47">
        <f>INDEX('Raw Data'!$C$2:$LO$69,$B$1,52)</f>
        <v>3259717</v>
      </c>
    </row>
    <row r="19" spans="1:9" s="44" customFormat="1" ht="12.75" x14ac:dyDescent="0.2">
      <c r="A19" s="44" t="s">
        <v>481</v>
      </c>
      <c r="B19" s="47">
        <f>INDEX('Raw Data'!$C$2:$LO$69,$B$1,28)+INDEX('Raw Data'!$C$2:$LO$69,$B$1,29)</f>
        <v>298528</v>
      </c>
      <c r="C19" s="48">
        <f t="shared" si="2"/>
        <v>7.3752920502302921E-2</v>
      </c>
      <c r="D19" s="49">
        <f>100*C19/US_Totals!C19</f>
        <v>53.182190799350401</v>
      </c>
      <c r="F19" s="44" t="s">
        <v>500</v>
      </c>
      <c r="G19" s="47">
        <f>INDEX('Raw Data'!$C$2:$LO$69,$B$1,53)</f>
        <v>748407</v>
      </c>
      <c r="H19" s="48">
        <f>G19/G$18</f>
        <v>0.22959263028048141</v>
      </c>
      <c r="I19" s="49">
        <f>100*H19/US_Totals!H21</f>
        <v>71.192534281509879</v>
      </c>
    </row>
    <row r="20" spans="1:9" s="44" customFormat="1" ht="12.75" x14ac:dyDescent="0.2">
      <c r="A20" s="44" t="s">
        <v>482</v>
      </c>
      <c r="B20" s="47">
        <f>INDEX('Raw Data'!$C$2:$LO$69,$B$1,30)+INDEX('Raw Data'!$C$2:$LO$69,$B$1,31)</f>
        <v>384093</v>
      </c>
      <c r="C20" s="48">
        <f t="shared" si="2"/>
        <v>9.4892206072767174E-2</v>
      </c>
      <c r="D20" s="49">
        <f>100*C20/US_Totals!C20</f>
        <v>72.495213198276758</v>
      </c>
      <c r="F20" s="44" t="s">
        <v>501</v>
      </c>
      <c r="G20" s="47">
        <f>INDEX('Raw Data'!$C$2:$LO$69,$B$1,54)</f>
        <v>2098521</v>
      </c>
      <c r="H20" s="48">
        <f>G20/G$18</f>
        <v>0.64377398406057951</v>
      </c>
      <c r="I20" s="49">
        <f>100*H20/US_Totals!H22</f>
        <v>139.96548485069928</v>
      </c>
    </row>
    <row r="21" spans="1:9" s="44" customFormat="1" ht="12.75" x14ac:dyDescent="0.2">
      <c r="A21" s="44" t="s">
        <v>483</v>
      </c>
      <c r="B21" s="47">
        <f>INDEX('Raw Data'!$C$2:$LO$69,$B$1,32)+INDEX('Raw Data'!$C$2:$LO$69,$B$1,33)</f>
        <v>575940</v>
      </c>
      <c r="C21" s="48">
        <f t="shared" si="2"/>
        <v>0.1422890215795381</v>
      </c>
      <c r="D21" s="49">
        <f>100*C21/US_Totals!C21</f>
        <v>111.51001144408323</v>
      </c>
      <c r="F21" s="44" t="s">
        <v>502</v>
      </c>
      <c r="G21" s="47">
        <f>INDEX('Raw Data'!$C$2:$LO$69,$B$1,55)</f>
        <v>80438</v>
      </c>
      <c r="H21" s="48">
        <f>G21/G$18</f>
        <v>2.4676375280430787E-2</v>
      </c>
      <c r="I21" s="49">
        <f>100*H21/US_Totals!H23</f>
        <v>50.582759638888461</v>
      </c>
    </row>
    <row r="22" spans="1:9" s="44" customFormat="1" ht="12.75" x14ac:dyDescent="0.2">
      <c r="A22" s="44" t="s">
        <v>484</v>
      </c>
      <c r="B22" s="47">
        <f>INDEX('Raw Data'!$C$2:$LO$69,$B$1,34)+INDEX('Raw Data'!$C$2:$LO$69,$B$1,35)</f>
        <v>665422</v>
      </c>
      <c r="C22" s="48">
        <f t="shared" si="2"/>
        <v>0.16439602270635725</v>
      </c>
      <c r="D22" s="49">
        <f>100*C22/US_Totals!C22</f>
        <v>121.81477552993941</v>
      </c>
      <c r="F22" s="44" t="s">
        <v>503</v>
      </c>
      <c r="G22" s="47">
        <f>INDEX('Raw Data'!$C$2:$LO$69,$B$1,56)</f>
        <v>142317</v>
      </c>
      <c r="H22" s="48">
        <f>G22/G$18</f>
        <v>4.3659311529191031E-2</v>
      </c>
      <c r="I22" s="49">
        <f>100*H22/US_Totals!H24</f>
        <v>73.053001140432812</v>
      </c>
    </row>
    <row r="23" spans="1:9" s="44" customFormat="1" ht="12.75" x14ac:dyDescent="0.2">
      <c r="A23" s="44" t="s">
        <v>485</v>
      </c>
      <c r="B23" s="47">
        <f>INDEX('Raw Data'!$C$2:$LO$69,$B$1,36)+INDEX('Raw Data'!$C$2:$LO$69,$B$1,37)</f>
        <v>578769</v>
      </c>
      <c r="C23" s="48">
        <f t="shared" si="2"/>
        <v>0.14298794098442144</v>
      </c>
      <c r="D23" s="49">
        <f>100*C23/US_Totals!C23</f>
        <v>131.1882948823129</v>
      </c>
      <c r="F23" s="44" t="s">
        <v>504</v>
      </c>
      <c r="G23" s="47">
        <f>INDEX('Raw Data'!$C$2:$LO$69,$B$1,57)</f>
        <v>190034</v>
      </c>
      <c r="H23" s="48">
        <f>G23/G$18</f>
        <v>5.8297698849317285E-2</v>
      </c>
      <c r="I23" s="49">
        <f>100*H23/US_Totals!H25</f>
        <v>53.481858876736403</v>
      </c>
    </row>
    <row r="24" spans="1:9" s="44" customFormat="1" ht="12.75" x14ac:dyDescent="0.2">
      <c r="A24" s="44" t="s">
        <v>486</v>
      </c>
      <c r="B24" s="47">
        <f>INDEX('Raw Data'!$C$2:$LO$69,$B$1,38)+INDEX('Raw Data'!$C$2:$LO$69,$B$1,39)</f>
        <v>318333</v>
      </c>
      <c r="C24" s="48">
        <f t="shared" si="2"/>
        <v>7.8645850447058893E-2</v>
      </c>
      <c r="D24" s="49">
        <f>100*C24/US_Totals!C24</f>
        <v>123.8258724958891</v>
      </c>
    </row>
    <row r="25" spans="1:9" s="44" customFormat="1" ht="12.75" x14ac:dyDescent="0.2">
      <c r="A25" s="44" t="s">
        <v>487</v>
      </c>
      <c r="B25" s="47">
        <f>INDEX('Raw Data'!$C$2:$LO$69,$B$1,40)+INDEX('Raw Data'!$C$2:$LO$69,$B$1,41)</f>
        <v>167096</v>
      </c>
      <c r="C25" s="48">
        <f t="shared" si="2"/>
        <v>4.1281950116078929E-2</v>
      </c>
      <c r="D25" s="49">
        <f>100*C25/US_Totals!C25</f>
        <v>105.18526847255718</v>
      </c>
      <c r="F25" s="73" t="s">
        <v>801</v>
      </c>
      <c r="G25" s="69"/>
      <c r="H25" s="45" t="s">
        <v>770</v>
      </c>
      <c r="I25" s="45" t="s">
        <v>465</v>
      </c>
    </row>
    <row r="26" spans="1:9" s="44" customFormat="1" ht="12.75" x14ac:dyDescent="0.2">
      <c r="A26" s="44" t="s">
        <v>488</v>
      </c>
      <c r="B26" s="50">
        <f>INDEX('Raw Data'!$C$2:$LO$69,$B$1,23)</f>
        <v>44.27</v>
      </c>
      <c r="D26" s="49">
        <f>100*B26/US_Totals!B26</f>
        <v>119.74573978901813</v>
      </c>
      <c r="F26" s="44" t="s">
        <v>505</v>
      </c>
      <c r="G26" s="47">
        <f>INDEX('Raw Data'!$C$2:$LO$69,$B$1,58)</f>
        <v>2828351</v>
      </c>
    </row>
    <row r="27" spans="1:9" s="44" customFormat="1" ht="12.75" x14ac:dyDescent="0.2">
      <c r="F27" s="44" t="s">
        <v>506</v>
      </c>
      <c r="G27" s="47">
        <f>INDEX('Raw Data'!$C$2:$LO$69,$B$1,59)</f>
        <v>32435</v>
      </c>
      <c r="H27" s="48">
        <f t="shared" ref="H27:H33" si="3">G27/G$26</f>
        <v>1.1467812870467633E-2</v>
      </c>
      <c r="I27" s="49">
        <f>100*H27/US_Totals!H29</f>
        <v>20.32943364105347</v>
      </c>
    </row>
    <row r="28" spans="1:9" s="44" customFormat="1" ht="12.75" x14ac:dyDescent="0.2">
      <c r="A28" s="73" t="s">
        <v>796</v>
      </c>
      <c r="C28" s="45" t="s">
        <v>768</v>
      </c>
      <c r="D28" s="45" t="s">
        <v>465</v>
      </c>
      <c r="F28" s="44" t="s">
        <v>507</v>
      </c>
      <c r="G28" s="47">
        <f>INDEX('Raw Data'!$C$2:$LO$69,$B$1,60)</f>
        <v>39620</v>
      </c>
      <c r="H28" s="48">
        <f t="shared" si="3"/>
        <v>1.4008162353258136E-2</v>
      </c>
      <c r="I28" s="49">
        <f>100*H28/US_Totals!H30</f>
        <v>18.805466821618616</v>
      </c>
    </row>
    <row r="29" spans="1:9" s="44" customFormat="1" ht="12.75" x14ac:dyDescent="0.2">
      <c r="A29" s="44" t="s">
        <v>489</v>
      </c>
      <c r="B29" s="47">
        <f>INDEX('Raw Data'!$C$2:$LO$69,$B$1,42)</f>
        <v>1989223</v>
      </c>
      <c r="C29" s="48">
        <f>B29/B$5</f>
        <v>0.49144805773780864</v>
      </c>
      <c r="D29" s="49">
        <f>100*C29/US_Totals!C29</f>
        <v>99.863599626573333</v>
      </c>
      <c r="F29" s="44" t="s">
        <v>508</v>
      </c>
      <c r="G29" s="47">
        <f>INDEX('Raw Data'!$C$2:$LO$69,$B$1,61)</f>
        <v>254919</v>
      </c>
      <c r="H29" s="48">
        <f t="shared" si="3"/>
        <v>9.0129902547456092E-2</v>
      </c>
      <c r="I29" s="49">
        <f>100*H29/US_Totals!H31</f>
        <v>32.524275464772181</v>
      </c>
    </row>
    <row r="30" spans="1:9" s="44" customFormat="1" ht="12.75" x14ac:dyDescent="0.2">
      <c r="A30" s="44" t="s">
        <v>490</v>
      </c>
      <c r="B30" s="47">
        <f>INDEX('Raw Data'!$C$2:$LO$69,$B$1,43)</f>
        <v>2058454</v>
      </c>
      <c r="C30" s="48">
        <f>B30/B$5</f>
        <v>0.50855194226219136</v>
      </c>
      <c r="D30" s="49">
        <f>100*C30/US_Totals!C30</f>
        <v>100.13216737525306</v>
      </c>
      <c r="F30" s="44" t="s">
        <v>509</v>
      </c>
      <c r="G30" s="47">
        <f>INDEX('Raw Data'!$C$2:$LO$69,$B$1,62)</f>
        <v>303497</v>
      </c>
      <c r="H30" s="48">
        <f t="shared" si="3"/>
        <v>0.10730528141662757</v>
      </c>
      <c r="I30" s="49">
        <f>100*H30/US_Totals!H32</f>
        <v>51.198079335602003</v>
      </c>
    </row>
    <row r="31" spans="1:9" s="44" customFormat="1" ht="12.75" x14ac:dyDescent="0.2">
      <c r="D31" s="48"/>
      <c r="F31" s="44" t="s">
        <v>510</v>
      </c>
      <c r="G31" s="47">
        <f>INDEX('Raw Data'!$C$2:$LO$69,$B$1,63)</f>
        <v>133722</v>
      </c>
      <c r="H31" s="48">
        <f t="shared" si="3"/>
        <v>4.7279138975325201E-2</v>
      </c>
      <c r="I31" s="49">
        <f>100*H31/US_Totals!H33</f>
        <v>57.973987718754302</v>
      </c>
    </row>
    <row r="32" spans="1:9" s="44" customFormat="1" ht="12.75" x14ac:dyDescent="0.2">
      <c r="A32" s="73" t="s">
        <v>797</v>
      </c>
      <c r="D32" s="45" t="s">
        <v>392</v>
      </c>
      <c r="F32" s="44" t="s">
        <v>511</v>
      </c>
      <c r="G32" s="47">
        <f>INDEX('Raw Data'!$C$2:$LO$69,$B$1,64)</f>
        <v>1004258</v>
      </c>
      <c r="H32" s="48">
        <f t="shared" si="3"/>
        <v>0.35506837729829149</v>
      </c>
      <c r="I32" s="49">
        <f>100*H32/US_Totals!H34</f>
        <v>190.24898563694893</v>
      </c>
    </row>
    <row r="33" spans="1:9" s="44" customFormat="1" ht="12.75" x14ac:dyDescent="0.2">
      <c r="A33" s="65" t="s">
        <v>548</v>
      </c>
      <c r="B33" s="47">
        <f>INDEX('Raw Data'!$C$2:$LO$69,$B$1,1)</f>
        <v>3213450</v>
      </c>
      <c r="D33" s="51">
        <f>B33/INDEX('Raw Data'!$C$2:$LO$71,70,1)</f>
        <v>1.2926984727922784E-2</v>
      </c>
      <c r="F33" s="44" t="s">
        <v>512</v>
      </c>
      <c r="G33" s="47">
        <f>INDEX('Raw Data'!$C$2:$LO$69,$B$1,65)</f>
        <v>1059900</v>
      </c>
      <c r="H33" s="48">
        <f t="shared" si="3"/>
        <v>0.37474132453857389</v>
      </c>
      <c r="I33" s="49">
        <f>100*H33/US_Totals!H35</f>
        <v>328.11566199779674</v>
      </c>
    </row>
    <row r="34" spans="1:9" s="44" customFormat="1" ht="12.75" x14ac:dyDescent="0.2">
      <c r="A34" s="65" t="s">
        <v>549</v>
      </c>
      <c r="B34" s="47">
        <f>INDEX('Raw Data'!$C$2:$LO$69,$B$1,2)</f>
        <v>3647057</v>
      </c>
      <c r="D34" s="51">
        <f>B34/INDEX('Raw Data'!$C$2:$LO$71,70,2)</f>
        <v>1.2960446054693989E-2</v>
      </c>
    </row>
    <row r="35" spans="1:9" s="44" customFormat="1" ht="12.75" x14ac:dyDescent="0.2">
      <c r="A35" s="65" t="s">
        <v>550</v>
      </c>
      <c r="B35" s="47">
        <f>INDEX('Raw Data'!$C$2:$LO$69,$B$1,3)</f>
        <v>3845273</v>
      </c>
      <c r="D35" s="51">
        <f>B35/INDEX('Raw Data'!$C$2:$LO$71,70,3)</f>
        <v>1.2454505496367691E-2</v>
      </c>
      <c r="F35" s="73" t="s">
        <v>802</v>
      </c>
      <c r="G35" s="69"/>
      <c r="H35" s="45" t="s">
        <v>771</v>
      </c>
      <c r="I35" s="45" t="s">
        <v>465</v>
      </c>
    </row>
    <row r="36" spans="1:9" s="44" customFormat="1" ht="12.75" x14ac:dyDescent="0.2">
      <c r="D36" s="48"/>
      <c r="F36" s="44" t="s">
        <v>520</v>
      </c>
      <c r="G36" s="47">
        <f>INDEX('Raw Data'!$C$2:$LO$69,$B$1,289)</f>
        <v>5127</v>
      </c>
      <c r="H36" s="48">
        <f t="shared" ref="H36:H55" si="4">G36/SUM(G$36:G$55)</f>
        <v>3.4628414887179042E-3</v>
      </c>
      <c r="I36" s="49">
        <f>100*H36/US_Totals!H38</f>
        <v>24.799150912402641</v>
      </c>
    </row>
    <row r="37" spans="1:9" s="44" customFormat="1" ht="12.75" x14ac:dyDescent="0.2">
      <c r="A37" s="72" t="s">
        <v>514</v>
      </c>
      <c r="B37" s="47">
        <f>INDEX('Raw Data'!$C$2:$LO$69,$B$1,66)</f>
        <v>3197275</v>
      </c>
      <c r="D37" s="66" t="s">
        <v>465</v>
      </c>
      <c r="F37" s="44" t="s">
        <v>521</v>
      </c>
      <c r="G37" s="47">
        <f>INDEX('Raw Data'!$C$2:$LO$69,$B$1,290)</f>
        <v>3617</v>
      </c>
      <c r="H37" s="48">
        <f t="shared" si="4"/>
        <v>2.4429681421284689E-3</v>
      </c>
      <c r="I37" s="49">
        <f>100*H37/US_Totals!H39</f>
        <v>48.14543712080868</v>
      </c>
    </row>
    <row r="38" spans="1:9" s="44" customFormat="1" ht="12.75" x14ac:dyDescent="0.2">
      <c r="A38" s="44" t="s">
        <v>515</v>
      </c>
      <c r="B38" s="47">
        <f>INDEX('Raw Data'!$C$2:$LO$69,$B$1,67)</f>
        <v>4196</v>
      </c>
      <c r="C38" s="48">
        <f>B38/B$37</f>
        <v>1.3123675630028696E-3</v>
      </c>
      <c r="D38" s="49">
        <f>100*C38/US_Totals!C39</f>
        <v>34.233333827860577</v>
      </c>
      <c r="F38" s="44" t="s">
        <v>522</v>
      </c>
      <c r="G38" s="47">
        <f>INDEX('Raw Data'!$C$2:$LO$69,$B$1,291)</f>
        <v>52450</v>
      </c>
      <c r="H38" s="48">
        <f t="shared" si="4"/>
        <v>3.5425402005705889E-2</v>
      </c>
      <c r="I38" s="49">
        <f>100*H38/US_Totals!H40</f>
        <v>56.694782548256825</v>
      </c>
    </row>
    <row r="39" spans="1:9" s="44" customFormat="1" ht="12.75" x14ac:dyDescent="0.2">
      <c r="A39" s="44" t="s">
        <v>516</v>
      </c>
      <c r="B39" s="47">
        <f>INDEX('Raw Data'!$C$2:$LO$69,$B$1,68)</f>
        <v>1988666</v>
      </c>
      <c r="C39" s="48">
        <f>B39/B$37</f>
        <v>0.62198778647441966</v>
      </c>
      <c r="D39" s="49">
        <f>100*C39/US_Totals!C40</f>
        <v>103.80577206992281</v>
      </c>
      <c r="F39" s="44" t="s">
        <v>523</v>
      </c>
      <c r="G39" s="47">
        <f>INDEX('Raw Data'!$C$2:$LO$69,$B$1,292)</f>
        <v>109077</v>
      </c>
      <c r="H39" s="48">
        <f t="shared" si="4"/>
        <v>7.3672003328434335E-2</v>
      </c>
      <c r="I39" s="49">
        <f>100*H39/US_Totals!H41</f>
        <v>70.914667510309357</v>
      </c>
    </row>
    <row r="40" spans="1:9" s="44" customFormat="1" ht="12.75" x14ac:dyDescent="0.2">
      <c r="A40" s="44" t="s">
        <v>517</v>
      </c>
      <c r="B40" s="47">
        <f>INDEX('Raw Data'!$C$2:$LO$69,$B$1,69)</f>
        <v>45137</v>
      </c>
      <c r="C40" s="48">
        <f>B40/B$37</f>
        <v>1.4117334292483442E-2</v>
      </c>
      <c r="D40" s="49">
        <f>100*C40/US_Totals!C41</f>
        <v>46.907278273617031</v>
      </c>
      <c r="F40" s="44" t="s">
        <v>524</v>
      </c>
      <c r="G40" s="47">
        <f>INDEX('Raw Data'!$C$2:$LO$69,$B$1,293)</f>
        <v>47620</v>
      </c>
      <c r="H40" s="48">
        <f t="shared" si="4"/>
        <v>3.2163158122244316E-2</v>
      </c>
      <c r="I40" s="49">
        <f>100*H40/US_Totals!H42</f>
        <v>113.45529834292535</v>
      </c>
    </row>
    <row r="41" spans="1:9" s="44" customFormat="1" ht="12.75" x14ac:dyDescent="0.2">
      <c r="A41" s="44" t="s">
        <v>518</v>
      </c>
      <c r="B41" s="47">
        <f>INDEX('Raw Data'!$C$2:$LO$69,$B$1,70)</f>
        <v>1159276</v>
      </c>
      <c r="C41" s="48">
        <f>B41/B$37</f>
        <v>0.36258251167009409</v>
      </c>
      <c r="D41" s="49">
        <f>100*C41/US_Totals!C42</f>
        <v>98.827037156109185</v>
      </c>
      <c r="F41" s="44" t="s">
        <v>525</v>
      </c>
      <c r="G41" s="47">
        <f>INDEX('Raw Data'!$C$2:$LO$69,$B$1,294)</f>
        <v>107097</v>
      </c>
      <c r="H41" s="48">
        <f t="shared" si="4"/>
        <v>7.2334685960058792E-2</v>
      </c>
      <c r="I41" s="49">
        <f>100*H41/US_Totals!H43</f>
        <v>62.067250239458843</v>
      </c>
    </row>
    <row r="42" spans="1:9" s="44" customFormat="1" ht="12.75" x14ac:dyDescent="0.2">
      <c r="F42" s="44" t="s">
        <v>526</v>
      </c>
      <c r="G42" s="47">
        <f>INDEX('Raw Data'!$C$2:$LO$69,$B$1,295)</f>
        <v>26062</v>
      </c>
      <c r="H42" s="48">
        <f t="shared" si="4"/>
        <v>1.7602608714446268E-2</v>
      </c>
      <c r="I42" s="49">
        <f>100*H42/US_Totals!H44</f>
        <v>43.468917175060682</v>
      </c>
    </row>
    <row r="43" spans="1:9" s="44" customFormat="1" ht="12.75" x14ac:dyDescent="0.2">
      <c r="A43" s="44" t="s">
        <v>519</v>
      </c>
      <c r="C43" s="48">
        <f>B40/(B40+B39)</f>
        <v>2.219339827898769E-2</v>
      </c>
      <c r="D43" s="49">
        <f>100*C43/US_Totals!C44</f>
        <v>46.404018049657168</v>
      </c>
      <c r="F43" s="44" t="s">
        <v>527</v>
      </c>
      <c r="G43" s="47">
        <f>INDEX('Raw Data'!$C$2:$LO$69,$B$1,296)</f>
        <v>7543</v>
      </c>
      <c r="H43" s="48">
        <f t="shared" si="4"/>
        <v>5.0946388432610012E-3</v>
      </c>
      <c r="I43" s="49">
        <f>100*H43/US_Totals!H45</f>
        <v>58.33364229972323</v>
      </c>
    </row>
    <row r="44" spans="1:9" s="44" customFormat="1" ht="12.75" x14ac:dyDescent="0.2">
      <c r="D44" s="48"/>
      <c r="F44" s="44" t="s">
        <v>528</v>
      </c>
      <c r="G44" s="47">
        <f>INDEX('Raw Data'!$C$2:$LO$69,$B$1,297)</f>
        <v>52616</v>
      </c>
      <c r="H44" s="48">
        <f t="shared" si="4"/>
        <v>3.5537520532549494E-2</v>
      </c>
      <c r="I44" s="49">
        <f>100*H44/US_Totals!H46</f>
        <v>163.85645678654538</v>
      </c>
    </row>
    <row r="45" spans="1:9" s="44" customFormat="1" ht="12.75" x14ac:dyDescent="0.2">
      <c r="A45" s="73" t="s">
        <v>803</v>
      </c>
      <c r="B45" s="69"/>
      <c r="D45" s="66" t="s">
        <v>465</v>
      </c>
      <c r="F45" s="44" t="s">
        <v>529</v>
      </c>
      <c r="G45" s="47">
        <f>INDEX('Raw Data'!$C$2:$LO$69,$B$1,298)</f>
        <v>147462</v>
      </c>
      <c r="H45" s="48">
        <f t="shared" si="4"/>
        <v>9.9597724128987639E-2</v>
      </c>
      <c r="I45" s="49">
        <f>100*H45/US_Totals!H47</f>
        <v>208.76652546019756</v>
      </c>
    </row>
    <row r="46" spans="1:9" s="44" customFormat="1" ht="12.75" x14ac:dyDescent="0.2">
      <c r="A46" s="44" t="s">
        <v>535</v>
      </c>
      <c r="B46" s="47">
        <f>INDEX('Raw Data'!$C$2:$LO$69,$B$1,309)</f>
        <v>846382</v>
      </c>
      <c r="C46" s="48">
        <f t="shared" ref="C46:C53" si="5">B46/SUM(B$46:B$54)</f>
        <v>0.57165724690931097</v>
      </c>
      <c r="D46" s="49">
        <f>100*C46/US_Totals!C47</f>
        <v>85.780454423100494</v>
      </c>
      <c r="F46" s="44" t="s">
        <v>530</v>
      </c>
      <c r="G46" s="47">
        <f>INDEX('Raw Data'!$C$2:$LO$69,$B$1,299)</f>
        <v>54707</v>
      </c>
      <c r="H46" s="48">
        <f t="shared" si="4"/>
        <v>3.6949808723091553E-2</v>
      </c>
      <c r="I46" s="49">
        <f>100*H46/US_Totals!H48</f>
        <v>194.44948299460521</v>
      </c>
    </row>
    <row r="47" spans="1:9" s="44" customFormat="1" ht="12.75" x14ac:dyDescent="0.2">
      <c r="A47" s="44" t="s">
        <v>546</v>
      </c>
      <c r="B47" s="47">
        <f>INDEX('Raw Data'!$C$2:$LO$69,$B$1,310)</f>
        <v>163391</v>
      </c>
      <c r="C47" s="48">
        <f t="shared" si="5"/>
        <v>0.11035637481628771</v>
      </c>
      <c r="D47" s="49">
        <f>100*C47/US_Totals!C48</f>
        <v>309.41727605198429</v>
      </c>
      <c r="F47" s="44" t="s">
        <v>544</v>
      </c>
      <c r="G47" s="47">
        <f>INDEX('Raw Data'!$C$2:$LO$69,$B$1,300)</f>
        <v>264644</v>
      </c>
      <c r="H47" s="48">
        <f t="shared" si="4"/>
        <v>0.17874394830120169</v>
      </c>
      <c r="I47" s="49">
        <f>100*H47/US_Totals!H49</f>
        <v>280.7189139934041</v>
      </c>
    </row>
    <row r="48" spans="1:9" s="44" customFormat="1" ht="12.75" x14ac:dyDescent="0.2">
      <c r="A48" s="44" t="s">
        <v>536</v>
      </c>
      <c r="B48" s="47">
        <f>INDEX('Raw Data'!$C$2:$LO$69,$B$1,311)</f>
        <v>145884</v>
      </c>
      <c r="C48" s="48">
        <f t="shared" si="5"/>
        <v>9.8531922711161068E-2</v>
      </c>
      <c r="D48" s="49">
        <f>100*C48/US_Totals!C49</f>
        <v>122.16635704094374</v>
      </c>
      <c r="F48" s="44" t="s">
        <v>531</v>
      </c>
      <c r="G48" s="47">
        <f>INDEX('Raw Data'!$C$2:$LO$69,$B$1,301)</f>
        <v>2082</v>
      </c>
      <c r="H48" s="48">
        <f t="shared" si="4"/>
        <v>1.4062094752312613E-3</v>
      </c>
      <c r="I48" s="49">
        <f>100*H48/US_Totals!H50</f>
        <v>192.68063581011103</v>
      </c>
    </row>
    <row r="49" spans="1:9" s="44" customFormat="1" ht="12.75" x14ac:dyDescent="0.2">
      <c r="A49" s="44" t="s">
        <v>537</v>
      </c>
      <c r="B49" s="47">
        <f>INDEX('Raw Data'!$C$2:$LO$69,$B$1,312)</f>
        <v>87169</v>
      </c>
      <c r="C49" s="48">
        <f t="shared" si="5"/>
        <v>5.8875059436327482E-2</v>
      </c>
      <c r="D49" s="49">
        <f>100*C49/US_Totals!C50</f>
        <v>75.320199490185004</v>
      </c>
      <c r="F49" s="44" t="s">
        <v>541</v>
      </c>
      <c r="G49" s="47">
        <f>INDEX('Raw Data'!$C$2:$LO$69,$B$1,302)</f>
        <v>40629</v>
      </c>
      <c r="H49" s="48">
        <f t="shared" si="4"/>
        <v>2.7441347151378921E-2</v>
      </c>
      <c r="I49" s="49">
        <f>100*H49/US_Totals!H51</f>
        <v>66.299695977198013</v>
      </c>
    </row>
    <row r="50" spans="1:9" s="44" customFormat="1" ht="12.75" x14ac:dyDescent="0.2">
      <c r="A50" s="44" t="s">
        <v>538</v>
      </c>
      <c r="B50" s="47">
        <f>INDEX('Raw Data'!$C$2:$LO$69,$B$1,313)</f>
        <v>39965</v>
      </c>
      <c r="C50" s="48">
        <f t="shared" si="5"/>
        <v>2.6992873044004495E-2</v>
      </c>
      <c r="D50" s="49">
        <f>100*C50/US_Totals!C51</f>
        <v>58.229940057696957</v>
      </c>
      <c r="F50" s="44" t="s">
        <v>532</v>
      </c>
      <c r="G50" s="47">
        <f>INDEX('Raw Data'!$C$2:$LO$69,$B$1,303)</f>
        <v>152374</v>
      </c>
      <c r="H50" s="48">
        <f t="shared" si="4"/>
        <v>0.1029153518630587</v>
      </c>
      <c r="I50" s="49">
        <f>100*H50/US_Totals!H52</f>
        <v>107.61650431857065</v>
      </c>
    </row>
    <row r="51" spans="1:9" s="44" customFormat="1" ht="12.75" x14ac:dyDescent="0.2">
      <c r="A51" s="44" t="s">
        <v>539</v>
      </c>
      <c r="B51" s="47">
        <f>INDEX('Raw Data'!$C$2:$LO$69,$B$1,314)</f>
        <v>47014</v>
      </c>
      <c r="C51" s="48">
        <f t="shared" si="5"/>
        <v>3.1753857957983918E-2</v>
      </c>
      <c r="D51" s="49">
        <f>100*C51/US_Totals!C52</f>
        <v>111.02889007018949</v>
      </c>
      <c r="F51" s="44" t="s">
        <v>533</v>
      </c>
      <c r="G51" s="47">
        <f>INDEX('Raw Data'!$C$2:$LO$69,$B$1,304)</f>
        <v>204970</v>
      </c>
      <c r="H51" s="48">
        <f t="shared" si="4"/>
        <v>0.13843936413936198</v>
      </c>
      <c r="I51" s="49">
        <f>100*H51/US_Totals!H53</f>
        <v>101.23494111935756</v>
      </c>
    </row>
    <row r="52" spans="1:9" s="44" customFormat="1" ht="12.75" x14ac:dyDescent="0.2">
      <c r="A52" s="44" t="s">
        <v>545</v>
      </c>
      <c r="B52" s="47">
        <f>INDEX('Raw Data'!$C$2:$LO$69,$B$1,315)</f>
        <v>147982</v>
      </c>
      <c r="C52" s="48">
        <f t="shared" si="5"/>
        <v>9.9948938791389302E-2</v>
      </c>
      <c r="D52" s="49">
        <f>100*C52/US_Totals!C54</f>
        <v>158.98866425469674</v>
      </c>
      <c r="F52" s="44" t="s">
        <v>540</v>
      </c>
      <c r="G52" s="47">
        <f>INDEX('Raw Data'!$C$2:$LO$69,$B$1,305)</f>
        <v>37944</v>
      </c>
      <c r="H52" s="48">
        <f t="shared" si="4"/>
        <v>2.5627863750324199E-2</v>
      </c>
      <c r="I52" s="49">
        <f>100*H52/US_Totals!H54</f>
        <v>120.71958276745789</v>
      </c>
    </row>
    <row r="53" spans="1:9" s="44" customFormat="1" ht="12.75" x14ac:dyDescent="0.2">
      <c r="A53" s="44" t="s">
        <v>547</v>
      </c>
      <c r="B53" s="47">
        <f>INDEX('Raw Data'!$C$2:$LO$69,$B$1,316)</f>
        <v>2789</v>
      </c>
      <c r="C53" s="48">
        <f t="shared" si="5"/>
        <v>1.8837263335350566E-3</v>
      </c>
      <c r="D53" s="49">
        <f>100*C53/US_Totals!C56</f>
        <v>147.84456429606314</v>
      </c>
      <c r="F53" s="44" t="s">
        <v>542</v>
      </c>
      <c r="G53" s="47">
        <f>INDEX('Raw Data'!$C$2:$LO$69,$B$1,306)</f>
        <v>44697</v>
      </c>
      <c r="H53" s="48">
        <f t="shared" si="4"/>
        <v>3.0188926471859601E-2</v>
      </c>
      <c r="I53" s="49">
        <f>100*H53/US_Totals!H55</f>
        <v>42.366137925190685</v>
      </c>
    </row>
    <row r="54" spans="1:9" s="44" customFormat="1" ht="12.75" x14ac:dyDescent="0.2">
      <c r="C54" s="48"/>
      <c r="F54" s="44" t="s">
        <v>543</v>
      </c>
      <c r="G54" s="47">
        <f>INDEX('Raw Data'!$C$2:$LO$69,$B$1,307)</f>
        <v>57691</v>
      </c>
      <c r="H54" s="48">
        <f t="shared" si="4"/>
        <v>3.8965240555027231E-2</v>
      </c>
      <c r="I54" s="49">
        <f>100*H54/US_Totals!H56</f>
        <v>78.36534542069667</v>
      </c>
    </row>
    <row r="55" spans="1:9" s="44" customFormat="1" ht="12.75" x14ac:dyDescent="0.2">
      <c r="F55" s="44" t="s">
        <v>534</v>
      </c>
      <c r="G55" s="47">
        <f>INDEX('Raw Data'!$C$2:$LO$69,$B$1,308)</f>
        <v>62167</v>
      </c>
      <c r="H55" s="48">
        <f t="shared" si="4"/>
        <v>4.1988388302930751E-2</v>
      </c>
      <c r="I55" s="49">
        <f>100*H55/US_Totals!H57</f>
        <v>81.235067430634302</v>
      </c>
    </row>
    <row r="56" spans="1:9" s="44" customFormat="1" ht="12.75" x14ac:dyDescent="0.2">
      <c r="G56" s="47"/>
      <c r="H56" s="48"/>
      <c r="I56" s="49"/>
    </row>
    <row r="57" spans="1:9" s="44" customFormat="1" ht="12.75" x14ac:dyDescent="0.2">
      <c r="G57" s="47"/>
      <c r="H57" s="48"/>
      <c r="I57" s="49"/>
    </row>
    <row r="58" spans="1:9" s="44" customFormat="1" ht="12.75" x14ac:dyDescent="0.2">
      <c r="G58" s="47"/>
      <c r="H58" s="48"/>
      <c r="I58" s="49"/>
    </row>
    <row r="59" spans="1:9" s="44" customFormat="1" ht="12.75" x14ac:dyDescent="0.2"/>
    <row r="60" spans="1:9" s="44" customFormat="1" ht="12.75" x14ac:dyDescent="0.2"/>
    <row r="61" spans="1:9" s="44" customFormat="1" ht="18.75" x14ac:dyDescent="0.3">
      <c r="A61" s="61"/>
      <c r="B61" s="76">
        <f>B1</f>
        <v>1</v>
      </c>
      <c r="C61" s="76"/>
      <c r="D61" s="76"/>
      <c r="E61" s="76"/>
      <c r="F61" s="76"/>
      <c r="G61" s="76"/>
      <c r="H61" s="60"/>
      <c r="I61" s="60"/>
    </row>
    <row r="62" spans="1:9" s="44" customFormat="1" ht="18.75" x14ac:dyDescent="0.3">
      <c r="A62" s="61"/>
      <c r="B62" s="77" t="str">
        <f>INDEX('Raw Data'!$B$2:$IV$69,$B$1,1)</f>
        <v>One Percenters</v>
      </c>
      <c r="C62" s="77"/>
      <c r="D62" s="77"/>
      <c r="E62" s="77"/>
      <c r="F62" s="77"/>
      <c r="G62" s="77"/>
      <c r="H62" s="62"/>
      <c r="I62" s="62"/>
    </row>
    <row r="63" spans="1:9" s="44" customFormat="1" ht="12.75" x14ac:dyDescent="0.2"/>
    <row r="64" spans="1:9" s="44" customFormat="1" ht="12.75" x14ac:dyDescent="0.2">
      <c r="C64" s="45" t="s">
        <v>392</v>
      </c>
      <c r="D64" s="45"/>
      <c r="H64" s="45" t="s">
        <v>392</v>
      </c>
      <c r="I64" s="45"/>
    </row>
    <row r="65" spans="1:9" s="44" customFormat="1" ht="12.75" x14ac:dyDescent="0.2">
      <c r="A65" s="72" t="s">
        <v>552</v>
      </c>
      <c r="B65" s="47">
        <f>INDEX('Raw Data'!$C$2:$LO$69,$B$1,9)</f>
        <v>1443716</v>
      </c>
      <c r="C65" s="48">
        <f>B65/INDEX('Raw Data'!$C$2:$LO$71,70,9)</f>
        <v>1.1652593553501874E-2</v>
      </c>
      <c r="F65" s="73" t="s">
        <v>809</v>
      </c>
      <c r="G65" s="47">
        <f>INDEX('Raw Data'!$C$2:$LO$69,$B$1,10)</f>
        <v>1493639</v>
      </c>
      <c r="H65" s="48">
        <f>G65/INDEX('Raw Data'!$C$2:$LO$71,70,10)</f>
        <v>1.1484614824026939E-2</v>
      </c>
    </row>
    <row r="66" spans="1:9" s="44" customFormat="1" ht="12.75" x14ac:dyDescent="0.2"/>
    <row r="67" spans="1:9" s="44" customFormat="1" ht="12.75" x14ac:dyDescent="0.2">
      <c r="A67" s="73" t="s">
        <v>632</v>
      </c>
      <c r="C67" s="45" t="s">
        <v>772</v>
      </c>
      <c r="D67" s="45" t="s">
        <v>465</v>
      </c>
      <c r="F67" s="73" t="s">
        <v>630</v>
      </c>
      <c r="H67" s="45" t="s">
        <v>772</v>
      </c>
      <c r="I67" s="45" t="s">
        <v>465</v>
      </c>
    </row>
    <row r="68" spans="1:9" s="44" customFormat="1" ht="12.75" x14ac:dyDescent="0.2">
      <c r="A68" s="44" t="s">
        <v>553</v>
      </c>
      <c r="B68" s="47">
        <f>INDEX('Raw Data'!$C$2:$LO$69,$B$1,71)</f>
        <v>1145704</v>
      </c>
      <c r="C68" s="48">
        <f>B68/B$65</f>
        <v>0.79357990075610441</v>
      </c>
      <c r="D68" s="49">
        <f>100*C68/US_Totals!C71</f>
        <v>121.01822157366139</v>
      </c>
      <c r="F68" s="44" t="s">
        <v>561</v>
      </c>
      <c r="G68" s="52">
        <f>INDEX('Raw Data'!$C$2:$LO$69,$B$1,79)</f>
        <v>2.77</v>
      </c>
      <c r="I68" s="49">
        <f>100*G68/US_Totals!G71</f>
        <v>109.05511811023622</v>
      </c>
    </row>
    <row r="69" spans="1:9" s="44" customFormat="1" ht="12.75" x14ac:dyDescent="0.2">
      <c r="A69" s="44" t="s">
        <v>554</v>
      </c>
      <c r="B69" s="47">
        <f>INDEX('Raw Data'!$C$2:$LO$69,$B$1,72)</f>
        <v>298012</v>
      </c>
      <c r="C69" s="48">
        <f>B69/B$65</f>
        <v>0.20642009924389562</v>
      </c>
      <c r="D69" s="49">
        <f>100*C69/US_Totals!C72</f>
        <v>59.962684817830741</v>
      </c>
      <c r="F69" s="44" t="s">
        <v>562</v>
      </c>
      <c r="G69" s="47">
        <f>INDEX('Raw Data'!$C$2:$LO$69,$B$1,80)</f>
        <v>244041</v>
      </c>
      <c r="H69" s="48">
        <f t="shared" ref="H69:H75" si="6">G69/B$65</f>
        <v>0.16903670805061383</v>
      </c>
      <c r="I69" s="49">
        <f>100*H69/US_Totals!H72</f>
        <v>61.272060449733111</v>
      </c>
    </row>
    <row r="70" spans="1:9" s="44" customFormat="1" ht="12.75" x14ac:dyDescent="0.2">
      <c r="F70" s="44" t="s">
        <v>563</v>
      </c>
      <c r="G70" s="47">
        <f>INDEX('Raw Data'!$C$2:$LO$69,$B$1,81)</f>
        <v>513062</v>
      </c>
      <c r="H70" s="48">
        <f t="shared" si="6"/>
        <v>0.35537598807521703</v>
      </c>
      <c r="I70" s="49">
        <f>100*H70/US_Totals!H73</f>
        <v>108.47280238340558</v>
      </c>
    </row>
    <row r="71" spans="1:9" s="44" customFormat="1" ht="12.75" x14ac:dyDescent="0.2">
      <c r="A71" s="73" t="s">
        <v>633</v>
      </c>
      <c r="C71" s="45" t="s">
        <v>773</v>
      </c>
      <c r="D71" s="45" t="s">
        <v>465</v>
      </c>
      <c r="F71" s="44" t="s">
        <v>564</v>
      </c>
      <c r="G71" s="47">
        <f>INDEX('Raw Data'!$C$2:$LO$69,$B$1,82)</f>
        <v>245060</v>
      </c>
      <c r="H71" s="48">
        <f t="shared" si="6"/>
        <v>0.16974252553826377</v>
      </c>
      <c r="I71" s="49">
        <f>100*H71/US_Totals!H74</f>
        <v>108.53571215794133</v>
      </c>
    </row>
    <row r="72" spans="1:9" s="44" customFormat="1" ht="12.75" x14ac:dyDescent="0.2">
      <c r="A72" s="44" t="s">
        <v>555</v>
      </c>
      <c r="B72" s="47">
        <f>INDEX('Raw Data'!$C$2:$LO$69,$B$1,73)</f>
        <v>462405</v>
      </c>
      <c r="C72" s="48">
        <f t="shared" ref="C72:C77" si="7">B72/B$68</f>
        <v>0.40359900986642272</v>
      </c>
      <c r="D72" s="49">
        <f>100*C72/US_Totals!C75</f>
        <v>129.60104413715914</v>
      </c>
      <c r="F72" s="44" t="s">
        <v>565</v>
      </c>
      <c r="G72" s="47">
        <f>INDEX('Raw Data'!$C$2:$LO$69,$B$1,83)</f>
        <v>272632</v>
      </c>
      <c r="H72" s="48">
        <f t="shared" si="6"/>
        <v>0.18884046446808098</v>
      </c>
      <c r="I72" s="49">
        <f>100*H72/US_Totals!H75</f>
        <v>144.48668503291643</v>
      </c>
    </row>
    <row r="73" spans="1:9" s="44" customFormat="1" ht="12.75" x14ac:dyDescent="0.2">
      <c r="A73" s="44" t="s">
        <v>556</v>
      </c>
      <c r="B73" s="47">
        <f>INDEX('Raw Data'!$C$2:$LO$69,$B$1,74)</f>
        <v>17135</v>
      </c>
      <c r="C73" s="48">
        <f t="shared" si="7"/>
        <v>1.4955869928009329E-2</v>
      </c>
      <c r="D73" s="49">
        <f>100*C73/US_Totals!C76</f>
        <v>35.240217042504312</v>
      </c>
      <c r="F73" s="44" t="s">
        <v>566</v>
      </c>
      <c r="G73" s="47">
        <f>INDEX('Raw Data'!$C$2:$LO$69,$B$1,84)</f>
        <v>121570</v>
      </c>
      <c r="H73" s="48">
        <f t="shared" si="6"/>
        <v>8.420631204475118E-2</v>
      </c>
      <c r="I73" s="49">
        <f>100*H73/US_Totals!H76</f>
        <v>132.87682650707629</v>
      </c>
    </row>
    <row r="74" spans="1:9" s="44" customFormat="1" ht="12.75" x14ac:dyDescent="0.2">
      <c r="A74" s="44" t="s">
        <v>557</v>
      </c>
      <c r="B74" s="47">
        <f>INDEX('Raw Data'!$C$2:$LO$69,$B$1,75)</f>
        <v>45479</v>
      </c>
      <c r="C74" s="48">
        <f t="shared" si="7"/>
        <v>3.9695244146830247E-2</v>
      </c>
      <c r="D74" s="49">
        <f>100*C74/US_Totals!C77</f>
        <v>31.196374327450417</v>
      </c>
      <c r="F74" s="44" t="s">
        <v>567</v>
      </c>
      <c r="G74" s="47">
        <f>INDEX('Raw Data'!$C$2:$LO$69,$B$1,85)</f>
        <v>35028</v>
      </c>
      <c r="H74" s="48">
        <f t="shared" si="6"/>
        <v>2.4262389555840622E-2</v>
      </c>
      <c r="I74" s="49">
        <f>100*H74/US_Totals!H77</f>
        <v>93.474186129434528</v>
      </c>
    </row>
    <row r="75" spans="1:9" s="44" customFormat="1" ht="12.75" x14ac:dyDescent="0.2">
      <c r="A75" s="44" t="s">
        <v>558</v>
      </c>
      <c r="B75" s="47">
        <f>INDEX('Raw Data'!$C$2:$LO$69,$B$1,76)</f>
        <v>564513</v>
      </c>
      <c r="C75" s="48">
        <f t="shared" si="7"/>
        <v>0.49272150572922851</v>
      </c>
      <c r="D75" s="49">
        <f>100*C75/US_Totals!C78</f>
        <v>118.6018908862149</v>
      </c>
      <c r="F75" s="44" t="s">
        <v>568</v>
      </c>
      <c r="G75" s="47">
        <f>INDEX('Raw Data'!$C$2:$LO$69,$B$1,86)</f>
        <v>12323</v>
      </c>
      <c r="H75" s="48">
        <f t="shared" si="6"/>
        <v>8.5356122672326142E-3</v>
      </c>
      <c r="I75" s="49">
        <f>100*H75/US_Totals!H78</f>
        <v>42.497907705865401</v>
      </c>
    </row>
    <row r="76" spans="1:9" s="44" customFormat="1" ht="12.75" x14ac:dyDescent="0.2">
      <c r="A76" s="44" t="s">
        <v>559</v>
      </c>
      <c r="B76" s="47">
        <f>INDEX('Raw Data'!$C$2:$LO$69,$B$1,77)</f>
        <v>16666</v>
      </c>
      <c r="C76" s="48">
        <f t="shared" si="7"/>
        <v>1.454651463205156E-2</v>
      </c>
      <c r="D76" s="49">
        <f>100*C76/US_Totals!C79</f>
        <v>44.96746910925043</v>
      </c>
    </row>
    <row r="77" spans="1:9" s="44" customFormat="1" ht="12.75" x14ac:dyDescent="0.2">
      <c r="A77" s="44" t="s">
        <v>560</v>
      </c>
      <c r="B77" s="47">
        <f>INDEX('Raw Data'!$C$2:$LO$69,$B$1,78)</f>
        <v>39187</v>
      </c>
      <c r="C77" s="48">
        <f t="shared" si="7"/>
        <v>3.4203424270143071E-2</v>
      </c>
      <c r="D77" s="49">
        <f>100*C77/US_Totals!C80</f>
        <v>48.373978428969039</v>
      </c>
    </row>
    <row r="78" spans="1:9" s="44" customFormat="1" ht="12.75" x14ac:dyDescent="0.2">
      <c r="F78" s="73" t="s">
        <v>798</v>
      </c>
      <c r="H78" s="45" t="s">
        <v>772</v>
      </c>
      <c r="I78" s="45" t="s">
        <v>465</v>
      </c>
    </row>
    <row r="79" spans="1:9" s="44" customFormat="1" ht="12.75" x14ac:dyDescent="0.2">
      <c r="A79" s="73" t="s">
        <v>634</v>
      </c>
      <c r="C79" s="45" t="s">
        <v>772</v>
      </c>
      <c r="D79" s="45" t="s">
        <v>465</v>
      </c>
      <c r="F79" s="44" t="s">
        <v>577</v>
      </c>
      <c r="G79" s="47">
        <f>INDEX('Raw Data'!$C$2:$LO$69,$B$1,96)</f>
        <v>39388</v>
      </c>
      <c r="H79" s="48">
        <f>G79/B$65</f>
        <v>2.7282374095736282E-2</v>
      </c>
      <c r="I79" s="49">
        <f>100*H79/US_Totals!H82</f>
        <v>30.628709206165247</v>
      </c>
    </row>
    <row r="80" spans="1:9" s="44" customFormat="1" ht="12.75" x14ac:dyDescent="0.2">
      <c r="A80" s="44" t="s">
        <v>488</v>
      </c>
      <c r="B80" s="52">
        <f>INDEX('Raw Data'!$C$2:$LO$69,$B$1,87)</f>
        <v>55.31</v>
      </c>
      <c r="D80" s="49">
        <f>100*B80/US_Totals!B83</f>
        <v>108.40846726773813</v>
      </c>
      <c r="F80" s="65" t="s">
        <v>579</v>
      </c>
      <c r="G80" s="47">
        <f>INDEX('Raw Data'!$C$2:$LO$69,$B$1,97)</f>
        <v>269979</v>
      </c>
      <c r="H80" s="48">
        <f t="shared" ref="H80:H81" si="8">G80/B$65</f>
        <v>0.18700284543497475</v>
      </c>
      <c r="I80" s="49">
        <f>100*H80/US_Totals!H83</f>
        <v>55.887782610063972</v>
      </c>
    </row>
    <row r="81" spans="1:9" s="44" customFormat="1" ht="12.75" x14ac:dyDescent="0.2">
      <c r="F81" s="65" t="s">
        <v>578</v>
      </c>
      <c r="G81" s="47">
        <f>INDEX('Raw Data'!$C$2:$LO$69,$B$1,98)</f>
        <v>1134349</v>
      </c>
      <c r="H81" s="48">
        <f t="shared" si="8"/>
        <v>0.785714780469289</v>
      </c>
      <c r="I81" s="49">
        <f>100*H81/US_Totals!H84</f>
        <v>136.33276190897089</v>
      </c>
    </row>
    <row r="82" spans="1:9" s="44" customFormat="1" ht="12.75" x14ac:dyDescent="0.2">
      <c r="A82" s="44" t="s">
        <v>569</v>
      </c>
      <c r="B82" s="47">
        <f>INDEX('Raw Data'!$C$2:$LO$69,$B$1,88)</f>
        <v>25203</v>
      </c>
      <c r="C82" s="48">
        <f t="shared" ref="C82:C89" si="9">B82/B$65</f>
        <v>1.7457034486006943E-2</v>
      </c>
      <c r="D82" s="49">
        <f>100*C82/US_Totals!C84</f>
        <v>39.832111651786313</v>
      </c>
    </row>
    <row r="83" spans="1:9" s="44" customFormat="1" ht="12.75" x14ac:dyDescent="0.2">
      <c r="A83" s="44" t="s">
        <v>570</v>
      </c>
      <c r="B83" s="47">
        <f>INDEX('Raw Data'!$C$2:$LO$69,$B$1,89)</f>
        <v>109349</v>
      </c>
      <c r="C83" s="48">
        <f t="shared" si="9"/>
        <v>7.5741350791984019E-2</v>
      </c>
      <c r="D83" s="49">
        <f>100*C83/US_Totals!C85</f>
        <v>49.115704235734974</v>
      </c>
      <c r="F83" s="73" t="s">
        <v>804</v>
      </c>
      <c r="G83" s="69"/>
      <c r="H83" s="45" t="s">
        <v>772</v>
      </c>
      <c r="I83" s="45" t="s">
        <v>465</v>
      </c>
    </row>
    <row r="84" spans="1:9" s="44" customFormat="1" ht="12.75" x14ac:dyDescent="0.2">
      <c r="A84" s="44" t="s">
        <v>571</v>
      </c>
      <c r="B84" s="47">
        <f>INDEX('Raw Data'!$C$2:$LO$69,$B$1,90)</f>
        <v>228602</v>
      </c>
      <c r="C84" s="48">
        <f t="shared" si="9"/>
        <v>0.15834277655716222</v>
      </c>
      <c r="D84" s="49">
        <f>100*C84/US_Totals!C86</f>
        <v>93.458849338724676</v>
      </c>
      <c r="F84" s="44" t="s">
        <v>580</v>
      </c>
      <c r="G84" s="47">
        <f>INDEX('Raw Data'!$C$2:$LO$69,$B$1,317)</f>
        <v>905770</v>
      </c>
      <c r="H84" s="48">
        <f>G84/B$65</f>
        <v>0.62738793502323176</v>
      </c>
      <c r="I84" s="49">
        <f>100*H84/US_Totals!H87</f>
        <v>83.476691816481591</v>
      </c>
    </row>
    <row r="85" spans="1:9" s="44" customFormat="1" ht="12.75" x14ac:dyDescent="0.2">
      <c r="A85" s="44" t="s">
        <v>572</v>
      </c>
      <c r="B85" s="47">
        <f>INDEX('Raw Data'!$C$2:$LO$69,$B$1,91)</f>
        <v>313584</v>
      </c>
      <c r="C85" s="48">
        <f t="shared" si="9"/>
        <v>0.21720615411895414</v>
      </c>
      <c r="D85" s="49">
        <f>100*C85/US_Totals!C87</f>
        <v>115.0817749997984</v>
      </c>
      <c r="F85" s="44" t="s">
        <v>582</v>
      </c>
      <c r="G85" s="47">
        <f>INDEX('Raw Data'!$C$2:$LO$69,$B$1,318)</f>
        <v>4932</v>
      </c>
      <c r="H85" s="48">
        <f t="shared" ref="H85:H94" si="10">G85/B$65</f>
        <v>3.4161843465058224E-3</v>
      </c>
      <c r="I85" s="49">
        <f>100*H85/US_Totals!H88</f>
        <v>12.767405647954977</v>
      </c>
    </row>
    <row r="86" spans="1:9" s="44" customFormat="1" ht="12.75" x14ac:dyDescent="0.2">
      <c r="A86" s="44" t="s">
        <v>573</v>
      </c>
      <c r="B86" s="47">
        <f>INDEX('Raw Data'!$C$2:$LO$69,$B$1,92)</f>
        <v>344387</v>
      </c>
      <c r="C86" s="48">
        <f t="shared" si="9"/>
        <v>0.23854206783051515</v>
      </c>
      <c r="D86" s="49">
        <f>100*C86/US_Totals!C88</f>
        <v>124.69763932996129</v>
      </c>
      <c r="F86" s="44" t="s">
        <v>581</v>
      </c>
      <c r="G86" s="47">
        <f>INDEX('Raw Data'!$C$2:$LO$69,$B$1,319)</f>
        <v>58632</v>
      </c>
      <c r="H86" s="48">
        <f t="shared" si="10"/>
        <v>4.0611865491550971E-2</v>
      </c>
      <c r="I86" s="49">
        <f>100*H86/US_Totals!H89</f>
        <v>49.897689493266519</v>
      </c>
    </row>
    <row r="87" spans="1:9" s="44" customFormat="1" ht="12.75" x14ac:dyDescent="0.2">
      <c r="A87" s="44" t="s">
        <v>574</v>
      </c>
      <c r="B87" s="47">
        <f>INDEX('Raw Data'!$C$2:$LO$69,$B$1,93)</f>
        <v>249973</v>
      </c>
      <c r="C87" s="48">
        <f t="shared" si="9"/>
        <v>0.17314554940168289</v>
      </c>
      <c r="D87" s="49">
        <f>100*C87/US_Totals!C89</f>
        <v>123.90514639208213</v>
      </c>
      <c r="F87" s="44" t="s">
        <v>584</v>
      </c>
      <c r="G87" s="47">
        <f>INDEX('Raw Data'!$C$2:$LO$69,$B$1,320)</f>
        <v>7524</v>
      </c>
      <c r="H87" s="48">
        <f t="shared" si="10"/>
        <v>5.2115513023336998E-3</v>
      </c>
      <c r="I87" s="49">
        <f>100*H87/US_Totals!H90</f>
        <v>74.709485436128531</v>
      </c>
    </row>
    <row r="88" spans="1:9" s="44" customFormat="1" ht="12.75" x14ac:dyDescent="0.2">
      <c r="A88" s="44" t="s">
        <v>575</v>
      </c>
      <c r="B88" s="47">
        <f>INDEX('Raw Data'!$C$2:$LO$69,$B$1,94)</f>
        <v>119671</v>
      </c>
      <c r="C88" s="48">
        <f t="shared" si="9"/>
        <v>8.2890956393085621E-2</v>
      </c>
      <c r="D88" s="49">
        <f>100*C88/US_Totals!C90</f>
        <v>107.41009656763725</v>
      </c>
      <c r="F88" s="44" t="s">
        <v>583</v>
      </c>
      <c r="G88" s="47">
        <f>INDEX('Raw Data'!$C$2:$LO$69,$B$1,321)</f>
        <v>102580</v>
      </c>
      <c r="H88" s="48">
        <f t="shared" si="10"/>
        <v>7.1052755528095549E-2</v>
      </c>
      <c r="I88" s="49">
        <f>100*H88/US_Totals!H91</f>
        <v>196.5037777618117</v>
      </c>
    </row>
    <row r="89" spans="1:9" s="44" customFormat="1" ht="12.75" x14ac:dyDescent="0.2">
      <c r="A89" s="44" t="s">
        <v>576</v>
      </c>
      <c r="B89" s="47">
        <f>INDEX('Raw Data'!$C$2:$LO$69,$B$1,95)</f>
        <v>52947</v>
      </c>
      <c r="C89" s="48">
        <f t="shared" si="9"/>
        <v>3.6674110420609037E-2</v>
      </c>
      <c r="D89" s="49">
        <f>100*C89/US_Totals!C91</f>
        <v>103.05075535803435</v>
      </c>
      <c r="F89" s="44" t="s">
        <v>586</v>
      </c>
      <c r="G89" s="47">
        <f>INDEX('Raw Data'!$C$2:$LO$69,$B$1,322)</f>
        <v>9103</v>
      </c>
      <c r="H89" s="48">
        <f t="shared" si="10"/>
        <v>6.3052567125390317E-3</v>
      </c>
      <c r="I89" s="49">
        <f>100*H89/US_Totals!H92</f>
        <v>77.444400284800395</v>
      </c>
    </row>
    <row r="90" spans="1:9" s="44" customFormat="1" ht="12.75" x14ac:dyDescent="0.2">
      <c r="F90" s="44" t="s">
        <v>585</v>
      </c>
      <c r="G90" s="47">
        <f>INDEX('Raw Data'!$C$2:$LO$69,$B$1,323)</f>
        <v>51189</v>
      </c>
      <c r="H90" s="48">
        <f t="shared" si="10"/>
        <v>3.5456419406586892E-2</v>
      </c>
      <c r="I90" s="49">
        <f>100*H90/US_Totals!H93</f>
        <v>160.46608675656753</v>
      </c>
    </row>
    <row r="91" spans="1:9" s="44" customFormat="1" ht="12.75" x14ac:dyDescent="0.2">
      <c r="F91" s="44" t="s">
        <v>588</v>
      </c>
      <c r="G91" s="47">
        <f>INDEX('Raw Data'!$C$2:$LO$69,$B$1,324)</f>
        <v>897</v>
      </c>
      <c r="H91" s="48">
        <f t="shared" si="10"/>
        <v>6.2131333309321227E-4</v>
      </c>
      <c r="I91" s="49">
        <f>100*H91/US_Totals!H94</f>
        <v>41.286663368261472</v>
      </c>
    </row>
    <row r="92" spans="1:9" s="44" customFormat="1" ht="12.75" x14ac:dyDescent="0.2">
      <c r="F92" s="44" t="s">
        <v>587</v>
      </c>
      <c r="G92" s="47">
        <f>INDEX('Raw Data'!$C$2:$LO$69,$B$1,325)</f>
        <v>14300</v>
      </c>
      <c r="H92" s="48">
        <f t="shared" si="10"/>
        <v>9.9049951652541088E-3</v>
      </c>
      <c r="I92" s="49">
        <f>100*H92/US_Totals!H95</f>
        <v>132.95572202703352</v>
      </c>
    </row>
    <row r="93" spans="1:9" s="44" customFormat="1" ht="12.75" x14ac:dyDescent="0.2"/>
    <row r="94" spans="1:9" s="44" customFormat="1" ht="12.75" x14ac:dyDescent="0.2">
      <c r="F94" s="44" t="s">
        <v>589</v>
      </c>
      <c r="G94" s="47">
        <f>G85+G87+G89+G91</f>
        <v>22456</v>
      </c>
      <c r="H94" s="48">
        <f t="shared" si="10"/>
        <v>1.5554305694471766E-2</v>
      </c>
      <c r="I94" s="49">
        <f>100*H94/US_Totals!H97</f>
        <v>35.856463347533044</v>
      </c>
    </row>
    <row r="95" spans="1:9" s="44" customFormat="1" ht="12.75" x14ac:dyDescent="0.2"/>
    <row r="96" spans="1:9" s="44" customFormat="1" ht="12.75" x14ac:dyDescent="0.2">
      <c r="A96" s="72" t="s">
        <v>590</v>
      </c>
    </row>
    <row r="97" spans="1:9" s="44" customFormat="1" ht="12.75" x14ac:dyDescent="0.2">
      <c r="D97" s="45" t="s">
        <v>465</v>
      </c>
    </row>
    <row r="98" spans="1:9" s="44" customFormat="1" ht="12.75" x14ac:dyDescent="0.2">
      <c r="A98" s="44" t="s">
        <v>591</v>
      </c>
      <c r="B98" s="53">
        <f>INDEX('Raw Data'!$C$2:$LO$69,$B$1,100)</f>
        <v>171392</v>
      </c>
      <c r="D98" s="49">
        <f>100*B98/US_Totals!B101</f>
        <v>305.4843596827377</v>
      </c>
      <c r="F98" s="73" t="s">
        <v>638</v>
      </c>
      <c r="H98" s="45" t="s">
        <v>772</v>
      </c>
      <c r="I98" s="45" t="s">
        <v>465</v>
      </c>
    </row>
    <row r="99" spans="1:9" s="44" customFormat="1" ht="12.75" x14ac:dyDescent="0.2">
      <c r="A99" s="44" t="s">
        <v>592</v>
      </c>
      <c r="B99" s="53">
        <f>INDEX('Raw Data'!$C$2:$LO$69,$B$1,101)</f>
        <v>193114</v>
      </c>
      <c r="D99" s="49">
        <f>100*B99/US_Totals!B102</f>
        <v>274.95799755104366</v>
      </c>
      <c r="F99" s="65" t="s">
        <v>617</v>
      </c>
      <c r="G99" s="47">
        <f>INDEX('Raw Data'!$C$2:$LO$69,$B$1,102)</f>
        <v>27120</v>
      </c>
      <c r="H99" s="48">
        <f t="shared" ref="H99:H114" si="11">G99/B$65</f>
        <v>1.8784857963754644E-2</v>
      </c>
      <c r="I99" s="49">
        <f>100*H99/US_Totals!H102</f>
        <v>26.052291641127148</v>
      </c>
    </row>
    <row r="100" spans="1:9" s="44" customFormat="1" ht="12.75" x14ac:dyDescent="0.2">
      <c r="A100" s="44" t="s">
        <v>593</v>
      </c>
      <c r="B100" s="53">
        <f>INDEX('Raw Data'!$C$2:$LO$69,$B$1,99)</f>
        <v>95379</v>
      </c>
      <c r="D100" s="49">
        <f>100*B100/US_Totals!B103</f>
        <v>315.75131592015094</v>
      </c>
      <c r="F100" s="44" t="s">
        <v>602</v>
      </c>
      <c r="G100" s="47">
        <f>INDEX('Raw Data'!$C$2:$LO$69,$B$1,103)</f>
        <v>13609</v>
      </c>
      <c r="H100" s="48">
        <f t="shared" si="11"/>
        <v>9.4263691751009203E-3</v>
      </c>
      <c r="I100" s="49">
        <f>100*H100/US_Totals!H103</f>
        <v>18.790039136122637</v>
      </c>
    </row>
    <row r="101" spans="1:9" s="44" customFormat="1" ht="12.75" x14ac:dyDescent="0.2">
      <c r="F101" s="44" t="s">
        <v>603</v>
      </c>
      <c r="G101" s="47">
        <f>INDEX('Raw Data'!$C$2:$LO$69,$B$1,104)</f>
        <v>15441</v>
      </c>
      <c r="H101" s="48">
        <f t="shared" si="11"/>
        <v>1.0695316807460747E-2</v>
      </c>
      <c r="I101" s="49">
        <f>100*H101/US_Totals!H104</f>
        <v>21.74205719885709</v>
      </c>
    </row>
    <row r="102" spans="1:9" s="44" customFormat="1" ht="12.75" x14ac:dyDescent="0.2">
      <c r="A102" s="44" t="s">
        <v>594</v>
      </c>
      <c r="B102" s="53">
        <f>INDEX('Raw Data'!$C$2:$LO$69,$B$1,169)</f>
        <v>2522906</v>
      </c>
      <c r="D102" s="49">
        <f>100*B102/US_Totals!B105</f>
        <v>415.26445908266425</v>
      </c>
      <c r="F102" s="44" t="s">
        <v>604</v>
      </c>
      <c r="G102" s="47">
        <f>INDEX('Raw Data'!$C$2:$LO$69,$B$1,105)</f>
        <v>18610</v>
      </c>
      <c r="H102" s="48">
        <f t="shared" si="11"/>
        <v>1.2890346854921604E-2</v>
      </c>
      <c r="I102" s="49">
        <f>100*H102/US_Totals!H105</f>
        <v>24.862040332105931</v>
      </c>
    </row>
    <row r="103" spans="1:9" s="44" customFormat="1" ht="12.75" x14ac:dyDescent="0.2">
      <c r="F103" s="44" t="s">
        <v>605</v>
      </c>
      <c r="G103" s="47">
        <f>INDEX('Raw Data'!$C$2:$LO$69,$B$1,106)</f>
        <v>17827</v>
      </c>
      <c r="H103" s="48">
        <f t="shared" si="11"/>
        <v>1.23479964203486E-2</v>
      </c>
      <c r="I103" s="49">
        <f>100*H103/US_Totals!H106</f>
        <v>25.001556723767802</v>
      </c>
    </row>
    <row r="104" spans="1:9" s="44" customFormat="1" ht="12.75" x14ac:dyDescent="0.2">
      <c r="A104" s="73" t="s">
        <v>637</v>
      </c>
      <c r="C104" s="45"/>
      <c r="D104" s="45" t="s">
        <v>465</v>
      </c>
      <c r="F104" s="44" t="s">
        <v>606</v>
      </c>
      <c r="G104" s="47">
        <f>INDEX('Raw Data'!$C$2:$LO$69,$B$1,107)</f>
        <v>18997</v>
      </c>
      <c r="H104" s="48">
        <f t="shared" si="11"/>
        <v>1.3158405115687572E-2</v>
      </c>
      <c r="I104" s="49">
        <f>100*H104/US_Totals!H107</f>
        <v>26.997903790667156</v>
      </c>
    </row>
    <row r="105" spans="1:9" s="44" customFormat="1" ht="12.75" x14ac:dyDescent="0.2">
      <c r="A105" s="44" t="s">
        <v>595</v>
      </c>
      <c r="B105" s="53">
        <f>INDEX('Raw Data'!$C$2:$LO$69,$B$1,118)</f>
        <v>87161</v>
      </c>
      <c r="D105" s="49">
        <f>100*B105/US_Totals!B108</f>
        <v>278.03438706178827</v>
      </c>
      <c r="F105" s="44" t="s">
        <v>607</v>
      </c>
      <c r="G105" s="47">
        <f>INDEX('Raw Data'!$C$2:$LO$69,$B$1,108)</f>
        <v>19527</v>
      </c>
      <c r="H105" s="48">
        <f t="shared" si="11"/>
        <v>1.3525513328106082E-2</v>
      </c>
      <c r="I105" s="49">
        <f>100*H105/US_Totals!H108</f>
        <v>29.259993030134378</v>
      </c>
    </row>
    <row r="106" spans="1:9" s="44" customFormat="1" ht="12.75" x14ac:dyDescent="0.2">
      <c r="A106" s="65" t="s">
        <v>596</v>
      </c>
      <c r="B106" s="53">
        <f>INDEX('Raw Data'!$C$2:$LO$69,$B$1,119)</f>
        <v>120855</v>
      </c>
      <c r="D106" s="49">
        <f>100*B106/US_Totals!B109</f>
        <v>224.1833460090152</v>
      </c>
      <c r="F106" s="44" t="s">
        <v>608</v>
      </c>
      <c r="G106" s="47">
        <f>INDEX('Raw Data'!$C$2:$LO$69,$B$1,109)</f>
        <v>21002</v>
      </c>
      <c r="H106" s="48">
        <f t="shared" si="11"/>
        <v>1.4547182409836837E-2</v>
      </c>
      <c r="I106" s="49">
        <f>100*H106/US_Totals!H109</f>
        <v>33.558432206218576</v>
      </c>
    </row>
    <row r="107" spans="1:9" s="44" customFormat="1" ht="12.75" x14ac:dyDescent="0.2">
      <c r="A107" s="65" t="s">
        <v>597</v>
      </c>
      <c r="B107" s="53">
        <f>INDEX('Raw Data'!$C$2:$LO$69,$B$1,120)</f>
        <v>179396</v>
      </c>
      <c r="D107" s="49">
        <f>100*B107/US_Totals!B110</f>
        <v>271.96870925684487</v>
      </c>
      <c r="F107" s="44" t="s">
        <v>609</v>
      </c>
      <c r="G107" s="47">
        <f>INDEX('Raw Data'!$C$2:$LO$69,$B$1,110)</f>
        <v>20943</v>
      </c>
      <c r="H107" s="48">
        <f t="shared" si="11"/>
        <v>1.4506315646567607E-2</v>
      </c>
      <c r="I107" s="49">
        <f>100*H107/US_Totals!H110</f>
        <v>34.839336558227281</v>
      </c>
    </row>
    <row r="108" spans="1:9" s="44" customFormat="1" ht="12.75" x14ac:dyDescent="0.2">
      <c r="A108" s="65" t="s">
        <v>598</v>
      </c>
      <c r="B108" s="53">
        <f>INDEX('Raw Data'!$C$2:$LO$69,$B$1,121)</f>
        <v>211164</v>
      </c>
      <c r="D108" s="49">
        <f>100*B108/US_Totals!B111</f>
        <v>299.5446485566352</v>
      </c>
      <c r="F108" s="44" t="s">
        <v>610</v>
      </c>
      <c r="G108" s="47">
        <f>INDEX('Raw Data'!$C$2:$LO$69,$B$1,111)</f>
        <v>45098</v>
      </c>
      <c r="H108" s="48">
        <f t="shared" si="11"/>
        <v>3.1237445591792291E-2</v>
      </c>
      <c r="I108" s="49">
        <f>100*H108/US_Totals!H111</f>
        <v>40.284052266758977</v>
      </c>
    </row>
    <row r="109" spans="1:9" s="44" customFormat="1" ht="12.75" x14ac:dyDescent="0.2">
      <c r="A109" s="65" t="s">
        <v>599</v>
      </c>
      <c r="B109" s="53">
        <f>INDEX('Raw Data'!$C$2:$LO$69,$B$1,122)</f>
        <v>192833</v>
      </c>
      <c r="D109" s="49">
        <f>100*B109/US_Totals!B112</f>
        <v>301.06165399447315</v>
      </c>
      <c r="F109" s="44" t="s">
        <v>611</v>
      </c>
      <c r="G109" s="47">
        <f>INDEX('Raw Data'!$C$2:$LO$69,$B$1,112)</f>
        <v>68041</v>
      </c>
      <c r="H109" s="48">
        <f t="shared" si="11"/>
        <v>4.712907524748635E-2</v>
      </c>
      <c r="I109" s="49">
        <f>100*H109/US_Totals!H112</f>
        <v>48.30274306442108</v>
      </c>
    </row>
    <row r="110" spans="1:9" s="44" customFormat="1" ht="12.75" x14ac:dyDescent="0.2">
      <c r="A110" s="65" t="s">
        <v>600</v>
      </c>
      <c r="B110" s="53">
        <f>INDEX('Raw Data'!$C$2:$LO$69,$B$1,123)</f>
        <v>148809</v>
      </c>
      <c r="D110" s="49">
        <f>100*B110/US_Totals!B113</f>
        <v>294.9691767924042</v>
      </c>
      <c r="F110" s="44" t="s">
        <v>613</v>
      </c>
      <c r="G110" s="47">
        <f>INDEX('Raw Data'!$C$2:$LO$69,$B$1,113)</f>
        <v>119742</v>
      </c>
      <c r="H110" s="48">
        <f t="shared" si="11"/>
        <v>8.2940135040409604E-2</v>
      </c>
      <c r="I110" s="49">
        <f>100*H110/US_Totals!H113</f>
        <v>67.705166097191736</v>
      </c>
    </row>
    <row r="111" spans="1:9" s="44" customFormat="1" ht="12.75" x14ac:dyDescent="0.2">
      <c r="A111" s="65" t="s">
        <v>601</v>
      </c>
      <c r="B111" s="53">
        <f>INDEX('Raw Data'!$C$2:$LO$69,$B$1,124)</f>
        <v>121608</v>
      </c>
      <c r="D111" s="49">
        <f>100*B111/US_Totals!B114</f>
        <v>331.60090529817575</v>
      </c>
      <c r="F111" s="44" t="s">
        <v>612</v>
      </c>
      <c r="G111" s="47">
        <f>INDEX('Raw Data'!$C$2:$LO$69,$B$1,114)</f>
        <v>104731</v>
      </c>
      <c r="H111" s="48">
        <f t="shared" si="11"/>
        <v>7.2542660744911044E-2</v>
      </c>
      <c r="I111" s="49">
        <f>100*H111/US_Totals!H114</f>
        <v>91.863727743265386</v>
      </c>
    </row>
    <row r="112" spans="1:9" s="44" customFormat="1" ht="12.75" x14ac:dyDescent="0.2">
      <c r="A112" s="65"/>
      <c r="B112" s="53"/>
      <c r="F112" s="44" t="s">
        <v>614</v>
      </c>
      <c r="G112" s="47">
        <f>INDEX('Raw Data'!$C$2:$LO$69,$B$1,115)</f>
        <v>123712</v>
      </c>
      <c r="H112" s="48">
        <f t="shared" si="11"/>
        <v>8.5689983348525608E-2</v>
      </c>
      <c r="I112" s="49">
        <f>100*H112/US_Totals!H115</f>
        <v>159.06360373571289</v>
      </c>
    </row>
    <row r="113" spans="1:9" s="44" customFormat="1" ht="12.75" x14ac:dyDescent="0.2">
      <c r="F113" s="44" t="s">
        <v>615</v>
      </c>
      <c r="G113" s="47">
        <f>INDEX('Raw Data'!$C$2:$LO$69,$B$1,116)</f>
        <v>204407</v>
      </c>
      <c r="H113" s="48">
        <f t="shared" si="11"/>
        <v>0.141583940331755</v>
      </c>
      <c r="I113" s="49">
        <f>100*H113/US_Totals!H116</f>
        <v>258.93513415676017</v>
      </c>
    </row>
    <row r="114" spans="1:9" s="44" customFormat="1" ht="12.75" x14ac:dyDescent="0.2">
      <c r="F114" s="44" t="s">
        <v>616</v>
      </c>
      <c r="G114" s="47">
        <f>INDEX('Raw Data'!$C$2:$LO$69,$B$1,117)</f>
        <v>604909</v>
      </c>
      <c r="H114" s="48">
        <f t="shared" si="11"/>
        <v>0.41899445597333546</v>
      </c>
      <c r="I114" s="49">
        <f>100*H114/US_Totals!H117</f>
        <v>673.4466625537035</v>
      </c>
    </row>
    <row r="115" spans="1:9" s="44" customFormat="1" ht="12.75" x14ac:dyDescent="0.2"/>
    <row r="116" spans="1:9" s="44" customFormat="1" ht="12.75" x14ac:dyDescent="0.2"/>
    <row r="117" spans="1:9" s="44" customFormat="1" ht="12.75" x14ac:dyDescent="0.2"/>
    <row r="118" spans="1:9" s="44" customFormat="1" ht="12.75" x14ac:dyDescent="0.2"/>
    <row r="119" spans="1:9" s="44" customFormat="1" ht="12.75" x14ac:dyDescent="0.2"/>
    <row r="120" spans="1:9" s="44" customFormat="1" ht="12.75" x14ac:dyDescent="0.2"/>
    <row r="121" spans="1:9" s="44" customFormat="1" ht="18.75" x14ac:dyDescent="0.3">
      <c r="A121" s="61"/>
      <c r="B121" s="76">
        <f>B1</f>
        <v>1</v>
      </c>
      <c r="C121" s="76"/>
      <c r="D121" s="76"/>
      <c r="E121" s="76"/>
      <c r="F121" s="76"/>
      <c r="G121" s="76"/>
      <c r="H121" s="60"/>
      <c r="I121" s="60"/>
    </row>
    <row r="122" spans="1:9" s="44" customFormat="1" ht="18.75" x14ac:dyDescent="0.3">
      <c r="A122" s="61"/>
      <c r="B122" s="77" t="str">
        <f>INDEX('Raw Data'!$B$2:$IV$69,$B$1,1)</f>
        <v>One Percenters</v>
      </c>
      <c r="C122" s="77"/>
      <c r="D122" s="77"/>
      <c r="E122" s="77"/>
      <c r="F122" s="77"/>
      <c r="G122" s="77"/>
      <c r="H122" s="62"/>
      <c r="I122" s="62"/>
    </row>
    <row r="123" spans="1:9" s="44" customFormat="1" ht="12.75" x14ac:dyDescent="0.2"/>
    <row r="124" spans="1:9" s="44" customFormat="1" ht="12.75" x14ac:dyDescent="0.2">
      <c r="C124" s="45" t="s">
        <v>392</v>
      </c>
      <c r="D124" s="45"/>
      <c r="H124" s="45"/>
      <c r="I124" s="45"/>
    </row>
    <row r="125" spans="1:9" s="44" customFormat="1" ht="12.75" x14ac:dyDescent="0.2">
      <c r="A125" s="72" t="s">
        <v>618</v>
      </c>
      <c r="B125" s="56">
        <f>INDEX('Raw Data'!$C$2:$LO$69,$B$1,11)</f>
        <v>1495185</v>
      </c>
      <c r="C125" s="51">
        <f>B125/INDEX('Raw Data'!$C$2:$LO$71,70,11)</f>
        <v>1.1086937163508137E-2</v>
      </c>
      <c r="F125" s="73" t="s">
        <v>805</v>
      </c>
      <c r="G125" s="69"/>
      <c r="H125" s="67" t="s">
        <v>781</v>
      </c>
      <c r="I125" s="45" t="s">
        <v>465</v>
      </c>
    </row>
    <row r="126" spans="1:9" s="44" customFormat="1" ht="12.75" x14ac:dyDescent="0.2">
      <c r="F126" s="44" t="s">
        <v>470</v>
      </c>
      <c r="G126" s="47">
        <f>INDEX('Raw Data'!$C$2:$LO$69,$B$1,260)</f>
        <v>945595</v>
      </c>
      <c r="H126" s="48">
        <f>G126/SUM(G$126:G$135)</f>
        <v>0.91654421457483604</v>
      </c>
      <c r="I126" s="49">
        <f>100*H126/US_Totals!H129</f>
        <v>111.83598057720832</v>
      </c>
    </row>
    <row r="127" spans="1:9" s="44" customFormat="1" ht="12.75" x14ac:dyDescent="0.2">
      <c r="A127" s="73" t="s">
        <v>620</v>
      </c>
      <c r="C127" s="67" t="s">
        <v>774</v>
      </c>
      <c r="D127" s="67" t="s">
        <v>465</v>
      </c>
      <c r="F127" s="44" t="s">
        <v>471</v>
      </c>
      <c r="G127" s="47">
        <f>INDEX('Raw Data'!$C$2:$LO$69,$B$1,261)</f>
        <v>43450</v>
      </c>
      <c r="H127" s="48">
        <f t="shared" ref="H127:H135" si="12">G127/SUM(G$126:G$135)</f>
        <v>4.2115119182394814E-2</v>
      </c>
      <c r="I127" s="49">
        <f>100*H127/US_Totals!H130</f>
        <v>71.646547980761909</v>
      </c>
    </row>
    <row r="128" spans="1:9" s="44" customFormat="1" ht="12.75" x14ac:dyDescent="0.2">
      <c r="A128" s="44" t="s">
        <v>466</v>
      </c>
      <c r="B128" s="47">
        <f>INDEX('Raw Data'!$C$2:$LO$69,$B$1,12)</f>
        <v>1281008</v>
      </c>
      <c r="C128" s="54">
        <f>B128/B$125</f>
        <v>0.85675551854787202</v>
      </c>
      <c r="D128" s="49">
        <f>100*C128/US_Totals!C131</f>
        <v>144.88438361058815</v>
      </c>
      <c r="F128" s="44" t="s">
        <v>472</v>
      </c>
      <c r="G128" s="47">
        <f>INDEX('Raw Data'!$C$2:$LO$69,$B$1,262)</f>
        <v>7552</v>
      </c>
      <c r="H128" s="48">
        <f t="shared" si="12"/>
        <v>7.3199857322311995E-3</v>
      </c>
      <c r="I128" s="49">
        <f>100*H128/US_Totals!H131</f>
        <v>58.363314449071538</v>
      </c>
    </row>
    <row r="129" spans="1:9" s="44" customFormat="1" ht="12.75" x14ac:dyDescent="0.2">
      <c r="A129" s="44" t="s">
        <v>467</v>
      </c>
      <c r="B129" s="47">
        <f>INDEX('Raw Data'!$C$2:$LO$69,$B$1,13)</f>
        <v>162708</v>
      </c>
      <c r="C129" s="54">
        <f>B129/B$125</f>
        <v>0.10882131642572658</v>
      </c>
      <c r="D129" s="49">
        <f>100*C129/US_Totals!C132</f>
        <v>33.241374100316776</v>
      </c>
      <c r="F129" s="44" t="s">
        <v>619</v>
      </c>
      <c r="G129" s="47">
        <f>INDEX('Raw Data'!$C$2:$LO$69,$B$1,263)</f>
        <v>4667</v>
      </c>
      <c r="H129" s="48">
        <f t="shared" si="12"/>
        <v>4.5236193607419237E-3</v>
      </c>
      <c r="I129" s="49">
        <f>100*H129/US_Totals!H132</f>
        <v>52.704365681293076</v>
      </c>
    </row>
    <row r="130" spans="1:9" s="44" customFormat="1" ht="12.75" x14ac:dyDescent="0.2">
      <c r="A130" s="44" t="s">
        <v>468</v>
      </c>
      <c r="B130" s="47">
        <f>INDEX('Raw Data'!$C$2:$LO$69,$B$1,14)</f>
        <v>51469</v>
      </c>
      <c r="C130" s="54">
        <f>B130/B$125</f>
        <v>3.4423165026401414E-2</v>
      </c>
      <c r="D130" s="49">
        <f>100*C130/US_Totals!C133</f>
        <v>42.343240519421009</v>
      </c>
      <c r="F130" s="44" t="s">
        <v>473</v>
      </c>
      <c r="G130" s="47">
        <f>INDEX('Raw Data'!$C$2:$LO$69,$B$1,264)</f>
        <v>3936</v>
      </c>
      <c r="H130" s="48">
        <f t="shared" si="12"/>
        <v>3.8150773095950745E-3</v>
      </c>
      <c r="I130" s="49">
        <f>100*H130/US_Totals!H133</f>
        <v>49.400372303507574</v>
      </c>
    </row>
    <row r="131" spans="1:9" s="44" customFormat="1" ht="12.75" x14ac:dyDescent="0.2">
      <c r="A131" s="44" t="s">
        <v>788</v>
      </c>
      <c r="B131" s="47">
        <f>INDEX('Raw Data'!$C$2:$LO$69,$B$1,16)</f>
        <v>25877</v>
      </c>
      <c r="C131" s="54">
        <f>B131/B$125</f>
        <v>1.7306888445242561E-2</v>
      </c>
      <c r="D131" s="49">
        <f>100*C131/US_Totals!C134</f>
        <v>50.201299138748041</v>
      </c>
      <c r="F131" s="44" t="s">
        <v>639</v>
      </c>
      <c r="G131" s="47">
        <f>INDEX('Raw Data'!$C$2:$LO$69,$B$1,265)</f>
        <v>4013</v>
      </c>
      <c r="H131" s="48">
        <f t="shared" si="12"/>
        <v>3.8897116980195715E-3</v>
      </c>
      <c r="I131" s="49">
        <f>100*H131/US_Totals!H134</f>
        <v>63.788204415731627</v>
      </c>
    </row>
    <row r="132" spans="1:9" s="44" customFormat="1" ht="12.75" x14ac:dyDescent="0.2">
      <c r="F132" s="65" t="s">
        <v>640</v>
      </c>
      <c r="G132" s="47">
        <f>INDEX('Raw Data'!$C$2:$LO$69,$B$1,266)</f>
        <v>6413</v>
      </c>
      <c r="H132" s="48">
        <f t="shared" si="12"/>
        <v>6.21597835021169E-3</v>
      </c>
      <c r="I132" s="49">
        <f>100*H132/US_Totals!H135</f>
        <v>94.25217126457369</v>
      </c>
    </row>
    <row r="133" spans="1:9" s="44" customFormat="1" ht="12.75" x14ac:dyDescent="0.2">
      <c r="A133" s="73" t="s">
        <v>779</v>
      </c>
      <c r="C133" s="67" t="s">
        <v>774</v>
      </c>
      <c r="D133" s="67" t="s">
        <v>465</v>
      </c>
      <c r="F133" s="44" t="s">
        <v>641</v>
      </c>
      <c r="G133" s="47">
        <f>INDEX('Raw Data'!$C$2:$LO$69,$B$1,267)</f>
        <v>10174</v>
      </c>
      <c r="H133" s="48">
        <f t="shared" si="12"/>
        <v>9.8614320497510902E-3</v>
      </c>
      <c r="I133" s="49">
        <f>100*H133/US_Totals!H136</f>
        <v>84.950226393475219</v>
      </c>
    </row>
    <row r="134" spans="1:9" s="44" customFormat="1" ht="12.75" x14ac:dyDescent="0.2">
      <c r="A134" s="44" t="s">
        <v>470</v>
      </c>
      <c r="B134" s="47">
        <f>G126+G138</f>
        <v>996829</v>
      </c>
      <c r="C134" s="48">
        <f>B134/SUM(B$134:B$143)</f>
        <v>0.86310996279418528</v>
      </c>
      <c r="D134" s="49">
        <f>100*C134/US_Totals!C137</f>
        <v>137.16778597450056</v>
      </c>
      <c r="F134" s="44" t="s">
        <v>642</v>
      </c>
      <c r="G134" s="47">
        <f>INDEX('Raw Data'!$C$2:$LO$69,$B$1,268)</f>
        <v>5816</v>
      </c>
      <c r="H134" s="48">
        <f t="shared" si="12"/>
        <v>5.6373195204789004E-3</v>
      </c>
      <c r="I134" s="49">
        <f>100*H134/US_Totals!H137</f>
        <v>8.3499011566796675</v>
      </c>
    </row>
    <row r="135" spans="1:9" s="44" customFormat="1" ht="12.75" x14ac:dyDescent="0.2">
      <c r="A135" s="44" t="s">
        <v>471</v>
      </c>
      <c r="B135" s="47">
        <f t="shared" ref="B135:B143" si="13">G127+G139</f>
        <v>51729</v>
      </c>
      <c r="C135" s="48">
        <f t="shared" ref="C135:C143" si="14">B135/SUM(B$134:B$143)</f>
        <v>4.4789843860261296E-2</v>
      </c>
      <c r="D135" s="49">
        <f>100*C135/US_Totals!C138</f>
        <v>75.33824858111187</v>
      </c>
      <c r="F135" s="44" t="s">
        <v>496</v>
      </c>
      <c r="G135" s="47">
        <f>INDEX('Raw Data'!$C$2:$LO$69,$B$1,269)</f>
        <v>80</v>
      </c>
      <c r="H135" s="48">
        <f t="shared" si="12"/>
        <v>7.7542221739737287E-5</v>
      </c>
      <c r="I135" s="49">
        <f>100*H135/US_Totals!H138</f>
        <v>7.6614685450291091</v>
      </c>
    </row>
    <row r="136" spans="1:9" s="44" customFormat="1" ht="12.75" x14ac:dyDescent="0.2">
      <c r="A136" s="44" t="s">
        <v>472</v>
      </c>
      <c r="B136" s="47">
        <f t="shared" si="13"/>
        <v>18610</v>
      </c>
      <c r="C136" s="48">
        <f t="shared" si="14"/>
        <v>1.6113572546143609E-2</v>
      </c>
      <c r="D136" s="49">
        <f>100*C136/US_Totals!C139</f>
        <v>43.987903220883695</v>
      </c>
    </row>
    <row r="137" spans="1:9" s="44" customFormat="1" ht="12.75" x14ac:dyDescent="0.2">
      <c r="A137" s="44" t="s">
        <v>619</v>
      </c>
      <c r="B137" s="47">
        <f t="shared" si="13"/>
        <v>14888</v>
      </c>
      <c r="C137" s="48">
        <f t="shared" si="14"/>
        <v>1.2890858036914888E-2</v>
      </c>
      <c r="D137" s="49">
        <f>100*C137/US_Totals!C140</f>
        <v>30.255855178870974</v>
      </c>
      <c r="F137" s="73" t="s">
        <v>806</v>
      </c>
      <c r="G137" s="70"/>
      <c r="H137" s="67" t="s">
        <v>782</v>
      </c>
      <c r="I137" s="45" t="s">
        <v>465</v>
      </c>
    </row>
    <row r="138" spans="1:9" s="44" customFormat="1" ht="12.75" x14ac:dyDescent="0.2">
      <c r="A138" s="44" t="s">
        <v>473</v>
      </c>
      <c r="B138" s="47">
        <f t="shared" si="13"/>
        <v>13443</v>
      </c>
      <c r="C138" s="48">
        <f t="shared" si="14"/>
        <v>1.1639696708103629E-2</v>
      </c>
      <c r="D138" s="49">
        <f>100*C138/US_Totals!C141</f>
        <v>25.247683311799509</v>
      </c>
      <c r="F138" s="44" t="s">
        <v>470</v>
      </c>
      <c r="G138" s="47">
        <f>INDEX('Raw Data'!$C$2:$LO$69,$B$1,270)</f>
        <v>51234</v>
      </c>
      <c r="H138" s="48">
        <f>G138/SUM(G$138:G$147)</f>
        <v>0.41575577573824768</v>
      </c>
      <c r="I138" s="49">
        <f>100*H138/US_Totals!H141</f>
        <v>151.62408314625259</v>
      </c>
    </row>
    <row r="139" spans="1:9" s="44" customFormat="1" ht="12.75" x14ac:dyDescent="0.2">
      <c r="A139" s="44" t="s">
        <v>639</v>
      </c>
      <c r="B139" s="47">
        <f t="shared" si="13"/>
        <v>13212</v>
      </c>
      <c r="C139" s="48">
        <f t="shared" si="14"/>
        <v>1.1439684066612003E-2</v>
      </c>
      <c r="D139" s="49">
        <f>100*C139/US_Totals!C142</f>
        <v>26.919087465150159</v>
      </c>
      <c r="F139" s="44" t="s">
        <v>471</v>
      </c>
      <c r="G139" s="47">
        <f>INDEX('Raw Data'!$C$2:$LO$69,$B$1,271)</f>
        <v>8279</v>
      </c>
      <c r="H139" s="48">
        <f t="shared" ref="H139:H147" si="15">G139/SUM(G$138:G$147)</f>
        <v>6.7182770569093817E-2</v>
      </c>
      <c r="I139" s="49">
        <f>100*H139/US_Totals!H142</f>
        <v>110.67747613022327</v>
      </c>
    </row>
    <row r="140" spans="1:9" s="44" customFormat="1" ht="12.75" x14ac:dyDescent="0.2">
      <c r="A140" s="65" t="s">
        <v>640</v>
      </c>
      <c r="B140" s="47">
        <f t="shared" si="13"/>
        <v>15066</v>
      </c>
      <c r="C140" s="48">
        <f t="shared" si="14"/>
        <v>1.3044980332090254E-2</v>
      </c>
      <c r="D140" s="49">
        <f>100*C140/US_Totals!C143</f>
        <v>38.036086815553148</v>
      </c>
      <c r="F140" s="44" t="s">
        <v>472</v>
      </c>
      <c r="G140" s="47">
        <f>INDEX('Raw Data'!$C$2:$LO$69,$B$1,272)</f>
        <v>11058</v>
      </c>
      <c r="H140" s="48">
        <f t="shared" si="15"/>
        <v>8.973391435596563E-2</v>
      </c>
      <c r="I140" s="49">
        <f>100*H140/US_Totals!H143</f>
        <v>110.00377106051305</v>
      </c>
    </row>
    <row r="141" spans="1:9" s="44" customFormat="1" ht="12.75" x14ac:dyDescent="0.2">
      <c r="A141" s="44" t="s">
        <v>641</v>
      </c>
      <c r="B141" s="47">
        <f t="shared" si="13"/>
        <v>24044</v>
      </c>
      <c r="C141" s="48">
        <f t="shared" si="14"/>
        <v>2.0818631826946637E-2</v>
      </c>
      <c r="D141" s="49">
        <f>100*C141/US_Totals!C144</f>
        <v>43.319168202902517</v>
      </c>
      <c r="F141" s="44" t="s">
        <v>619</v>
      </c>
      <c r="G141" s="47">
        <f>INDEX('Raw Data'!$C$2:$LO$69,$B$1,273)</f>
        <v>10221</v>
      </c>
      <c r="H141" s="48">
        <f t="shared" si="15"/>
        <v>8.2941792243834744E-2</v>
      </c>
      <c r="I141" s="49">
        <f>100*H141/US_Totals!H144</f>
        <v>78.188281177576741</v>
      </c>
    </row>
    <row r="142" spans="1:9" s="44" customFormat="1" ht="12.75" x14ac:dyDescent="0.2">
      <c r="A142" s="44" t="s">
        <v>642</v>
      </c>
      <c r="B142" s="47">
        <f t="shared" si="13"/>
        <v>6842</v>
      </c>
      <c r="C142" s="48">
        <f t="shared" si="14"/>
        <v>5.9241839527519923E-3</v>
      </c>
      <c r="D142" s="49">
        <f>100*C142/US_Totals!C145</f>
        <v>9.8482766531142403</v>
      </c>
      <c r="F142" s="44" t="s">
        <v>473</v>
      </c>
      <c r="G142" s="47">
        <f>INDEX('Raw Data'!$C$2:$LO$69,$B$1,274)</f>
        <v>9507</v>
      </c>
      <c r="H142" s="48">
        <f t="shared" si="15"/>
        <v>7.7147795603379019E-2</v>
      </c>
      <c r="I142" s="49">
        <f>100*H142/US_Totals!H145</f>
        <v>65.544908989942272</v>
      </c>
    </row>
    <row r="143" spans="1:9" s="44" customFormat="1" ht="12.75" x14ac:dyDescent="0.2">
      <c r="A143" s="44" t="s">
        <v>496</v>
      </c>
      <c r="B143" s="47">
        <f t="shared" si="13"/>
        <v>264</v>
      </c>
      <c r="C143" s="48">
        <f t="shared" si="14"/>
        <v>2.2858587599043056E-4</v>
      </c>
      <c r="D143" s="49">
        <f>100*C143/US_Totals!C146</f>
        <v>23.673829693048518</v>
      </c>
      <c r="F143" s="44" t="s">
        <v>639</v>
      </c>
      <c r="G143" s="47">
        <f>INDEX('Raw Data'!$C$2:$LO$69,$B$1,275)</f>
        <v>9199</v>
      </c>
      <c r="H143" s="48">
        <f t="shared" si="15"/>
        <v>7.464842450357459E-2</v>
      </c>
      <c r="I143" s="49">
        <f>100*H143/US_Totals!H146</f>
        <v>67.61524489551276</v>
      </c>
    </row>
    <row r="144" spans="1:9" s="44" customFormat="1" ht="12.75" x14ac:dyDescent="0.2">
      <c r="F144" s="65" t="s">
        <v>640</v>
      </c>
      <c r="G144" s="47">
        <f>INDEX('Raw Data'!$C$2:$LO$69,$B$1,276)</f>
        <v>8653</v>
      </c>
      <c r="H144" s="48">
        <f t="shared" si="15"/>
        <v>7.021772119028491E-2</v>
      </c>
      <c r="I144" s="49">
        <f>100*H144/US_Totals!H147</f>
        <v>81.671613393524822</v>
      </c>
    </row>
    <row r="145" spans="1:9" s="44" customFormat="1" ht="12.75" x14ac:dyDescent="0.2">
      <c r="A145" s="73" t="s">
        <v>778</v>
      </c>
      <c r="C145" s="67" t="s">
        <v>774</v>
      </c>
      <c r="D145" s="67" t="s">
        <v>465</v>
      </c>
      <c r="F145" s="44" t="s">
        <v>641</v>
      </c>
      <c r="G145" s="47">
        <f>INDEX('Raw Data'!$C$2:$LO$69,$B$1,277)</f>
        <v>13870</v>
      </c>
      <c r="H145" s="48">
        <f t="shared" si="15"/>
        <v>0.11255284790353076</v>
      </c>
      <c r="I145" s="49">
        <f>100*H145/US_Totals!H148</f>
        <v>96.978117086415295</v>
      </c>
    </row>
    <row r="146" spans="1:9" s="44" customFormat="1" ht="12.75" x14ac:dyDescent="0.2">
      <c r="A146" s="44" t="s">
        <v>647</v>
      </c>
      <c r="B146" s="47">
        <f>INDEX('Raw Data'!$C$2:$LO$69,$B$1,280)</f>
        <v>50562</v>
      </c>
      <c r="C146" s="48">
        <f>B146/SUM(B$146:B$154)</f>
        <v>4.3779390385712692E-2</v>
      </c>
      <c r="D146" s="49">
        <f>100*C146/US_Totals!C149</f>
        <v>64.736093578950204</v>
      </c>
      <c r="F146" s="44" t="s">
        <v>642</v>
      </c>
      <c r="G146" s="47">
        <f>INDEX('Raw Data'!$C$2:$LO$69,$B$1,278)</f>
        <v>1026</v>
      </c>
      <c r="H146" s="48">
        <f t="shared" si="15"/>
        <v>8.3258271051926871E-3</v>
      </c>
      <c r="I146" s="49">
        <f>100*H146/US_Totals!H149</f>
        <v>17.933753535968862</v>
      </c>
    </row>
    <row r="147" spans="1:9" s="44" customFormat="1" ht="12.75" x14ac:dyDescent="0.2">
      <c r="A147" s="65" t="s">
        <v>648</v>
      </c>
      <c r="B147" s="47">
        <f>INDEX('Raw Data'!$C$2:$LO$69,$B$1,281)</f>
        <v>68666</v>
      </c>
      <c r="C147" s="48">
        <f t="shared" ref="C147:C154" si="16">B147/SUM(B$146:B$154)</f>
        <v>5.945484000287464E-2</v>
      </c>
      <c r="D147" s="49">
        <f>100*C147/US_Totals!C150</f>
        <v>73.808055156905212</v>
      </c>
      <c r="F147" s="44" t="s">
        <v>496</v>
      </c>
      <c r="G147" s="47">
        <f>INDEX('Raw Data'!$C$2:$LO$69,$B$1,279)</f>
        <v>184</v>
      </c>
      <c r="H147" s="48">
        <f t="shared" si="15"/>
        <v>1.4931307868961544E-3</v>
      </c>
      <c r="I147" s="49">
        <f>100*H147/US_Totals!H150</f>
        <v>169.91853385709231</v>
      </c>
    </row>
    <row r="148" spans="1:9" s="44" customFormat="1" ht="12.75" x14ac:dyDescent="0.2">
      <c r="A148" s="65" t="s">
        <v>649</v>
      </c>
      <c r="B148" s="47">
        <f>INDEX('Raw Data'!$C$2:$LO$69,$B$1,282)</f>
        <v>132911</v>
      </c>
      <c r="C148" s="48">
        <f t="shared" si="16"/>
        <v>0.11508173243850044</v>
      </c>
      <c r="D148" s="49">
        <f>100*C148/US_Totals!C151</f>
        <v>81.335806892563255</v>
      </c>
    </row>
    <row r="149" spans="1:9" s="44" customFormat="1" ht="12.75" x14ac:dyDescent="0.2">
      <c r="A149" s="65" t="s">
        <v>650</v>
      </c>
      <c r="B149" s="47">
        <f>INDEX('Raw Data'!$C$2:$LO$69,$B$1,283)</f>
        <v>137887</v>
      </c>
      <c r="C149" s="48">
        <f t="shared" si="16"/>
        <v>0.11939022985868371</v>
      </c>
      <c r="D149" s="49">
        <f>100*C149/US_Totals!C152</f>
        <v>85.845224924325962</v>
      </c>
      <c r="F149" s="73" t="s">
        <v>807</v>
      </c>
      <c r="G149" s="69"/>
      <c r="H149" s="45" t="s">
        <v>780</v>
      </c>
      <c r="I149" s="45" t="s">
        <v>465</v>
      </c>
    </row>
    <row r="150" spans="1:9" s="44" customFormat="1" ht="12.75" x14ac:dyDescent="0.2">
      <c r="A150" s="65" t="s">
        <v>651</v>
      </c>
      <c r="B150" s="47">
        <f>INDEX('Raw Data'!$C$2:$LO$69,$B$1,284)</f>
        <v>134485</v>
      </c>
      <c r="C150" s="48">
        <f t="shared" si="16"/>
        <v>0.1164445891385343</v>
      </c>
      <c r="D150" s="49">
        <f>100*C150/US_Totals!C153</f>
        <v>72.850032105909762</v>
      </c>
      <c r="F150" s="44" t="s">
        <v>617</v>
      </c>
      <c r="G150" s="47">
        <f>INDEX('Raw Data'!$C$2:$LO$69,$B$1,212)</f>
        <v>4030</v>
      </c>
      <c r="H150" s="48">
        <f>G150/SUM(G$150:G$165)</f>
        <v>3.3434826976844515E-3</v>
      </c>
      <c r="I150" s="49">
        <f>100*H150/US_Totals!H153</f>
        <v>23.826742652582443</v>
      </c>
    </row>
    <row r="151" spans="1:9" s="44" customFormat="1" ht="12.75" x14ac:dyDescent="0.2">
      <c r="A151" s="65" t="s">
        <v>652</v>
      </c>
      <c r="B151" s="47">
        <f>INDEX('Raw Data'!$C$2:$LO$69,$B$1,285)</f>
        <v>145094</v>
      </c>
      <c r="C151" s="48">
        <f t="shared" si="16"/>
        <v>0.1256304511021043</v>
      </c>
      <c r="D151" s="49">
        <f>100*C151/US_Totals!C154</f>
        <v>111.65376435199336</v>
      </c>
      <c r="F151" s="44" t="s">
        <v>676</v>
      </c>
      <c r="G151" s="47">
        <f>INDEX('Raw Data'!$C$2:$LO$69,$B$1,213)+INDEX('Raw Data'!$C$2:LO$69,$B$1,214)+INDEX('Raw Data'!$C$2:$LO$69,$B$1,215)</f>
        <v>7025</v>
      </c>
      <c r="H151" s="48">
        <f t="shared" ref="H151:H165" si="17">G151/SUM(G$150:G$165)</f>
        <v>5.8282793923655762E-3</v>
      </c>
      <c r="I151" s="49">
        <f>100*H151/US_Totals!H154</f>
        <v>20.607773967325119</v>
      </c>
    </row>
    <row r="152" spans="1:9" s="44" customFormat="1" ht="12.75" x14ac:dyDescent="0.2">
      <c r="A152" s="65" t="s">
        <v>653</v>
      </c>
      <c r="B152" s="47">
        <f>INDEX('Raw Data'!$C$2:$LO$69,$B$1,286)</f>
        <v>184522</v>
      </c>
      <c r="C152" s="48">
        <f t="shared" si="16"/>
        <v>0.15976940533903874</v>
      </c>
      <c r="D152" s="49">
        <f>100*C152/US_Totals!C155</f>
        <v>142.80972477825267</v>
      </c>
      <c r="F152" s="44" t="s">
        <v>663</v>
      </c>
      <c r="G152" s="47">
        <f>SUM(INDEX('Raw Data'!$C$2:$LO$69,$B$1,216):INDEX('Raw Data'!$C$2:LO$69,$B$1,219))</f>
        <v>10177</v>
      </c>
      <c r="H152" s="48">
        <f t="shared" si="17"/>
        <v>8.4433308720433409E-3</v>
      </c>
      <c r="I152" s="49">
        <f>100*H152/US_Totals!H155</f>
        <v>19.261495400139179</v>
      </c>
    </row>
    <row r="153" spans="1:9" s="44" customFormat="1" ht="12.75" x14ac:dyDescent="0.2">
      <c r="A153" s="65" t="s">
        <v>654</v>
      </c>
      <c r="B153" s="47">
        <f>INDEX('Raw Data'!$C$2:$LO$69,$B$1,287)</f>
        <v>78749</v>
      </c>
      <c r="C153" s="48">
        <f t="shared" si="16"/>
        <v>6.8185261925645516E-2</v>
      </c>
      <c r="D153" s="49">
        <f>100*C153/US_Totals!C156</f>
        <v>123.92689179598733</v>
      </c>
      <c r="F153" s="44" t="s">
        <v>682</v>
      </c>
      <c r="G153" s="47">
        <f>SUM(INDEX('Raw Data'!$C$2:$LO$69,$B$1,220):INDEX('Raw Data'!$C$2:LO$69,$B$1,221))</f>
        <v>11343</v>
      </c>
      <c r="H153" s="48">
        <f t="shared" si="17"/>
        <v>9.4107008039292141E-3</v>
      </c>
      <c r="I153" s="49">
        <f>100*H153/US_Totals!H156</f>
        <v>19.102331249750556</v>
      </c>
    </row>
    <row r="154" spans="1:9" s="44" customFormat="1" ht="12.75" x14ac:dyDescent="0.2">
      <c r="A154" s="65" t="s">
        <v>655</v>
      </c>
      <c r="B154" s="47">
        <f>INDEX('Raw Data'!$C$2:$LO$69,$B$1,288)</f>
        <v>222051</v>
      </c>
      <c r="C154" s="48">
        <f t="shared" si="16"/>
        <v>0.19226409980890566</v>
      </c>
      <c r="D154" s="49">
        <f>100*C154/US_Totals!C157</f>
        <v>145.65709376484742</v>
      </c>
      <c r="F154" s="44" t="s">
        <v>683</v>
      </c>
      <c r="G154" s="47">
        <f>SUM(INDEX('Raw Data'!$C$2:$LO$69,$B$1,222):INDEX('Raw Data'!$C$2:LO$69,$B$1,224))</f>
        <v>23484</v>
      </c>
      <c r="H154" s="48">
        <f t="shared" si="17"/>
        <v>1.9483460960898674E-2</v>
      </c>
      <c r="I154" s="49">
        <f>100*H154/US_Totals!H157</f>
        <v>18.961248338069673</v>
      </c>
    </row>
    <row r="155" spans="1:9" s="44" customFormat="1" ht="12.75" x14ac:dyDescent="0.2">
      <c r="F155" s="44" t="s">
        <v>664</v>
      </c>
      <c r="G155" s="47">
        <f>INDEX('Raw Data'!$C$2:$LO$69,$B$1,225)</f>
        <v>22714</v>
      </c>
      <c r="H155" s="48">
        <f t="shared" si="17"/>
        <v>1.8844631760596683E-2</v>
      </c>
      <c r="I155" s="49">
        <f>100*H155/US_Totals!H158</f>
        <v>22.045426333840055</v>
      </c>
    </row>
    <row r="156" spans="1:9" s="44" customFormat="1" ht="12.75" x14ac:dyDescent="0.2">
      <c r="A156" s="73" t="s">
        <v>777</v>
      </c>
      <c r="C156" s="67" t="s">
        <v>775</v>
      </c>
      <c r="D156" s="67" t="s">
        <v>465</v>
      </c>
      <c r="F156" s="44" t="s">
        <v>665</v>
      </c>
      <c r="G156" s="47">
        <f>INDEX('Raw Data'!$C$2:$LO$69,$B$1,226)</f>
        <v>20685</v>
      </c>
      <c r="H156" s="48">
        <f t="shared" si="17"/>
        <v>1.7161275335385331E-2</v>
      </c>
      <c r="I156" s="49">
        <f>100*H156/US_Totals!H159</f>
        <v>22.949876286538718</v>
      </c>
    </row>
    <row r="157" spans="1:9" s="44" customFormat="1" ht="12.75" x14ac:dyDescent="0.2">
      <c r="A157" s="44" t="s">
        <v>658</v>
      </c>
      <c r="B157" s="47">
        <f>INDEX('Raw Data'!$C$2:$LO$69,$B$1,258)</f>
        <v>10261</v>
      </c>
      <c r="C157" s="48">
        <f>B157/SUM(B$157:B$165)</f>
        <v>7.6339910127071989E-2</v>
      </c>
      <c r="D157" s="49">
        <f>100*C157/US_Totals!C160</f>
        <v>139.10808713930712</v>
      </c>
      <c r="F157" s="44" t="s">
        <v>666</v>
      </c>
      <c r="G157" s="47">
        <f>INDEX('Raw Data'!$C$2:$LO$69,$B$1,227)</f>
        <v>31378</v>
      </c>
      <c r="H157" s="48">
        <f t="shared" si="17"/>
        <v>2.6032704736462214E-2</v>
      </c>
      <c r="I157" s="49">
        <f>100*H157/US_Totals!H160</f>
        <v>28.964776139852926</v>
      </c>
    </row>
    <row r="158" spans="1:9" s="44" customFormat="1" ht="12.75" x14ac:dyDescent="0.2">
      <c r="A158" s="44" t="s">
        <v>660</v>
      </c>
      <c r="B158" s="47">
        <f>SUM(INDEX('Raw Data'!$C$2:$LO$69,$B$1,237):INDEX('Raw Data'!$C$2:LJ$69,$B$1,240))</f>
        <v>5153</v>
      </c>
      <c r="C158" s="48">
        <f t="shared" ref="C158:C165" si="18">B158/SUM(B$157:B$165)</f>
        <v>3.8337350831770971E-2</v>
      </c>
      <c r="D158" s="49">
        <f>100*C158/US_Totals!C161</f>
        <v>60.311562056490999</v>
      </c>
      <c r="F158" s="44" t="s">
        <v>667</v>
      </c>
      <c r="G158" s="47">
        <f>INDEX('Raw Data'!$C$2:$LO$69,$B$1,228)</f>
        <v>26567</v>
      </c>
      <c r="H158" s="48">
        <f t="shared" si="17"/>
        <v>2.2041266707042883E-2</v>
      </c>
      <c r="I158" s="49">
        <f>100*H158/US_Totals!H161</f>
        <v>35.515395171939531</v>
      </c>
    </row>
    <row r="159" spans="1:9" s="44" customFormat="1" ht="12.75" x14ac:dyDescent="0.2">
      <c r="A159" s="65" t="s">
        <v>659</v>
      </c>
      <c r="B159" s="47">
        <f>SUM(INDEX('Raw Data'!$C$2:$LO$69,$B$1,241):INDEX('Raw Data'!$C$2:LJ$69,$B$1,245))</f>
        <v>7528</v>
      </c>
      <c r="C159" s="48">
        <f t="shared" si="18"/>
        <v>5.60069041454632E-2</v>
      </c>
      <c r="D159" s="49">
        <f>100*C159/US_Totals!C162</f>
        <v>32.267124539508025</v>
      </c>
      <c r="F159" s="44" t="s">
        <v>668</v>
      </c>
      <c r="G159" s="47">
        <f>INDEX('Raw Data'!$C$2:$LO$69,$B$1,229)</f>
        <v>62784</v>
      </c>
      <c r="H159" s="48">
        <f t="shared" si="17"/>
        <v>5.208863962566268E-2</v>
      </c>
      <c r="I159" s="49">
        <f>100*H159/US_Totals!H162</f>
        <v>49.094285259748553</v>
      </c>
    </row>
    <row r="160" spans="1:9" s="44" customFormat="1" ht="12.75" x14ac:dyDescent="0.2">
      <c r="A160" s="44" t="s">
        <v>677</v>
      </c>
      <c r="B160" s="47">
        <f>SUM(INDEX('Raw Data'!$C$2:$LO$69,$B$1,246):INDEX('Raw Data'!$C$2:LJ$69,$B$1,250))</f>
        <v>14092</v>
      </c>
      <c r="C160" s="48">
        <f t="shared" si="18"/>
        <v>0.10484182959854775</v>
      </c>
      <c r="D160" s="49">
        <f>100*C160/US_Totals!C163</f>
        <v>38.459579543920157</v>
      </c>
      <c r="F160" s="44" t="s">
        <v>669</v>
      </c>
      <c r="G160" s="47">
        <f>INDEX('Raw Data'!$C$2:$LO$69,$B$1,230)</f>
        <v>63868</v>
      </c>
      <c r="H160" s="48">
        <f t="shared" si="17"/>
        <v>5.2987978395957952E-2</v>
      </c>
      <c r="I160" s="49">
        <f>100*H160/US_Totals!H163</f>
        <v>66.150679842409772</v>
      </c>
    </row>
    <row r="161" spans="1:9" s="44" customFormat="1" ht="12.75" x14ac:dyDescent="0.2">
      <c r="A161" s="65" t="s">
        <v>661</v>
      </c>
      <c r="B161" s="47">
        <f>SUM(INDEX('Raw Data'!$C$2:$LO$69,$B$1,251):INDEX('Raw Data'!$C$2:LJ$69,$B$1,253))</f>
        <v>17832</v>
      </c>
      <c r="C161" s="48">
        <f t="shared" si="18"/>
        <v>0.13266672618516204</v>
      </c>
      <c r="D161" s="49">
        <f>100*C161/US_Totals!C164</f>
        <v>69.859622284976524</v>
      </c>
      <c r="F161" s="44" t="s">
        <v>670</v>
      </c>
      <c r="G161" s="47">
        <f>INDEX('Raw Data'!$C$2:$LO$69,$B$1,231)</f>
        <v>130768</v>
      </c>
      <c r="H161" s="48">
        <f t="shared" si="17"/>
        <v>0.10849145047414401</v>
      </c>
      <c r="I161" s="49">
        <f>100*H161/US_Totals!H164</f>
        <v>104.850850245746</v>
      </c>
    </row>
    <row r="162" spans="1:9" s="44" customFormat="1" ht="12.75" x14ac:dyDescent="0.2">
      <c r="A162" s="44" t="s">
        <v>681</v>
      </c>
      <c r="B162" s="47">
        <f>INDEX('Raw Data'!$C$2:$LO$69,$B$1,254)</f>
        <v>20120</v>
      </c>
      <c r="C162" s="48">
        <f t="shared" si="18"/>
        <v>0.14968901586167901</v>
      </c>
      <c r="D162" s="49">
        <f>100*C162/US_Totals!C165</f>
        <v>141.49830540055538</v>
      </c>
      <c r="F162" s="44" t="s">
        <v>671</v>
      </c>
      <c r="G162" s="47">
        <f>INDEX('Raw Data'!$C$2:$LO$69,$B$1,232)</f>
        <v>114394</v>
      </c>
      <c r="H162" s="48">
        <f t="shared" si="17"/>
        <v>9.4906789012137754E-2</v>
      </c>
      <c r="I162" s="49">
        <f>100*H162/US_Totals!H165</f>
        <v>170.94007618256646</v>
      </c>
    </row>
    <row r="163" spans="1:9" s="44" customFormat="1" ht="12.75" x14ac:dyDescent="0.2">
      <c r="A163" s="65" t="s">
        <v>678</v>
      </c>
      <c r="B163" s="47">
        <f>INDEX('Raw Data'!$C$2:$LO$69,$B$1,255)</f>
        <v>11961</v>
      </c>
      <c r="C163" s="48">
        <f t="shared" si="18"/>
        <v>8.8987590393714844E-2</v>
      </c>
      <c r="D163" s="49">
        <f>100*C163/US_Totals!C166</f>
        <v>163.58846187488288</v>
      </c>
      <c r="F163" s="44" t="s">
        <v>672</v>
      </c>
      <c r="G163" s="47">
        <f>INDEX('Raw Data'!$C$2:$LO$69,$B$1,233)</f>
        <v>249478</v>
      </c>
      <c r="H163" s="48">
        <f t="shared" si="17"/>
        <v>0.20697900160122124</v>
      </c>
      <c r="I163" s="49">
        <f>100*H163/US_Totals!H166</f>
        <v>335.44117426998622</v>
      </c>
    </row>
    <row r="164" spans="1:9" s="44" customFormat="1" ht="12.75" x14ac:dyDescent="0.2">
      <c r="A164" s="44" t="s">
        <v>679</v>
      </c>
      <c r="B164" s="47">
        <f>INDEX('Raw Data'!$C$2:$LO$69,$B$1,256)</f>
        <v>20123</v>
      </c>
      <c r="C164" s="48">
        <f t="shared" si="18"/>
        <v>0.14971133529744368</v>
      </c>
      <c r="D164" s="49">
        <f>100*C164/US_Totals!C167</f>
        <v>275.70485579155149</v>
      </c>
      <c r="F164" s="44" t="s">
        <v>673</v>
      </c>
      <c r="G164" s="47">
        <f>INDEX('Raw Data'!$C$2:$LO$69,$B$1,234)</f>
        <v>168184</v>
      </c>
      <c r="H164" s="48">
        <f t="shared" si="17"/>
        <v>0.13953357171894834</v>
      </c>
      <c r="I164" s="49">
        <f>100*H164/US_Totals!H167</f>
        <v>636.61932061330481</v>
      </c>
    </row>
    <row r="165" spans="1:9" s="44" customFormat="1" ht="12.75" x14ac:dyDescent="0.2">
      <c r="A165" s="44" t="s">
        <v>680</v>
      </c>
      <c r="B165" s="47">
        <f>INDEX('Raw Data'!$C$2:$LO$69,$B$1,257)</f>
        <v>27342</v>
      </c>
      <c r="C165" s="48">
        <f t="shared" si="18"/>
        <v>0.20341933755914651</v>
      </c>
      <c r="D165" s="49">
        <f>100*C165/US_Totals!C168</f>
        <v>656.41899290045592</v>
      </c>
      <c r="F165" s="44" t="s">
        <v>674</v>
      </c>
      <c r="G165" s="47">
        <f>INDEX('Raw Data'!$C$2:$LO$69,$B$1,235)</f>
        <v>258451</v>
      </c>
      <c r="H165" s="48">
        <f t="shared" si="17"/>
        <v>0.21442343590551965</v>
      </c>
      <c r="I165" s="49">
        <f>100*H165/US_Totals!H168</f>
        <v>1029.8962194640073</v>
      </c>
    </row>
    <row r="166" spans="1:9" s="44" customFormat="1" ht="12.75" x14ac:dyDescent="0.2"/>
    <row r="167" spans="1:9" s="44" customFormat="1" ht="12.75" x14ac:dyDescent="0.2">
      <c r="A167" s="44" t="s">
        <v>662</v>
      </c>
      <c r="B167" s="55">
        <f>INDEX('Raw Data'!$C$2:$LO$69,$B$1,259)</f>
        <v>1310</v>
      </c>
      <c r="D167" s="49">
        <f>100*B167/US_Totals!B170</f>
        <v>183.98876404494382</v>
      </c>
      <c r="F167" s="44" t="s">
        <v>675</v>
      </c>
      <c r="G167" s="53">
        <f>INDEX('Raw Data'!$C$2:$LO$69,$B$1,236)</f>
        <v>573601</v>
      </c>
      <c r="I167" s="49">
        <f>100*G167/US_Totals!G170</f>
        <v>319.17968293537956</v>
      </c>
    </row>
    <row r="168" spans="1:9" s="44" customFormat="1" ht="12.75" x14ac:dyDescent="0.2"/>
    <row r="169" spans="1:9" s="44" customFormat="1" ht="12.75" x14ac:dyDescent="0.2"/>
    <row r="170" spans="1:9" s="44" customFormat="1" ht="12.75" x14ac:dyDescent="0.2"/>
    <row r="171" spans="1:9" s="44" customFormat="1" ht="12.75" x14ac:dyDescent="0.2"/>
    <row r="172" spans="1:9" s="44" customFormat="1" ht="12.75" x14ac:dyDescent="0.2"/>
    <row r="173" spans="1:9" s="44" customFormat="1" ht="12.75" x14ac:dyDescent="0.2"/>
    <row r="174" spans="1:9" s="44" customFormat="1" ht="12.75" x14ac:dyDescent="0.2"/>
    <row r="175" spans="1:9" s="44" customFormat="1" ht="12.75" x14ac:dyDescent="0.2"/>
    <row r="176" spans="1:9" s="44" customFormat="1" ht="12.75" x14ac:dyDescent="0.2"/>
    <row r="177" spans="1:9" s="44" customFormat="1" ht="12.75" x14ac:dyDescent="0.2">
      <c r="A177" s="44" t="s">
        <v>776</v>
      </c>
    </row>
    <row r="178" spans="1:9" s="44" customFormat="1" ht="12.75" x14ac:dyDescent="0.2"/>
    <row r="179" spans="1:9" s="44" customFormat="1" ht="12.75" x14ac:dyDescent="0.2"/>
    <row r="180" spans="1:9" s="44" customFormat="1" ht="12.75" x14ac:dyDescent="0.2"/>
    <row r="181" spans="1:9" s="44" customFormat="1" ht="18.75" x14ac:dyDescent="0.3">
      <c r="A181" s="61"/>
      <c r="B181" s="76">
        <f>B1</f>
        <v>1</v>
      </c>
      <c r="C181" s="76"/>
      <c r="D181" s="76"/>
      <c r="E181" s="76"/>
      <c r="F181" s="76"/>
      <c r="G181" s="76"/>
      <c r="H181" s="60"/>
      <c r="I181" s="60"/>
    </row>
    <row r="182" spans="1:9" s="44" customFormat="1" ht="18.75" x14ac:dyDescent="0.3">
      <c r="A182" s="61"/>
      <c r="B182" s="77" t="str">
        <f>INDEX('Raw Data'!$B$2:$IV$69,$B$1,1)</f>
        <v>One Percenters</v>
      </c>
      <c r="C182" s="77"/>
      <c r="D182" s="77"/>
      <c r="E182" s="77"/>
      <c r="F182" s="77"/>
      <c r="G182" s="77"/>
      <c r="H182" s="62"/>
      <c r="I182" s="62"/>
    </row>
    <row r="183" spans="1:9" s="44" customFormat="1" ht="12.75" x14ac:dyDescent="0.2"/>
    <row r="184" spans="1:9" s="44" customFormat="1" ht="12.75" x14ac:dyDescent="0.2">
      <c r="C184" s="45"/>
      <c r="D184" s="45" t="s">
        <v>465</v>
      </c>
      <c r="H184" s="45"/>
      <c r="I184" s="45" t="s">
        <v>465</v>
      </c>
    </row>
    <row r="185" spans="1:9" s="44" customFormat="1" ht="12.75" x14ac:dyDescent="0.2">
      <c r="A185" s="72" t="s">
        <v>684</v>
      </c>
      <c r="B185" s="71"/>
      <c r="C185" s="51"/>
      <c r="D185" s="47">
        <f>INDEX('Raw Data'!$C$2:$LO$69,$B$1,170)</f>
        <v>52</v>
      </c>
      <c r="F185" s="72" t="s">
        <v>694</v>
      </c>
      <c r="G185" s="71"/>
      <c r="I185" s="47">
        <f>INDEX('Raw Data'!$C$2:$LO$69,$B$1,206)</f>
        <v>129</v>
      </c>
    </row>
    <row r="186" spans="1:9" s="44" customFormat="1" ht="12.75" x14ac:dyDescent="0.2">
      <c r="A186" s="44" t="s">
        <v>688</v>
      </c>
      <c r="D186" s="47">
        <f>INDEX('Raw Data'!$C$2:$LO$69,$B$1,171)</f>
        <v>35</v>
      </c>
      <c r="F186" s="44" t="s">
        <v>695</v>
      </c>
      <c r="I186" s="47">
        <f>INDEX('Raw Data'!$C$2:$LO$69,$B$1,207)</f>
        <v>128</v>
      </c>
    </row>
    <row r="187" spans="1:9" s="44" customFormat="1" ht="12.75" x14ac:dyDescent="0.2">
      <c r="A187" s="44" t="s">
        <v>685</v>
      </c>
      <c r="D187" s="47">
        <f>INDEX('Raw Data'!$C$2:$LO$69,$B$1,172)</f>
        <v>33</v>
      </c>
      <c r="F187" s="44" t="s">
        <v>696</v>
      </c>
      <c r="I187" s="47">
        <f>INDEX('Raw Data'!$C$2:$LO$69,$B$1,208)</f>
        <v>139</v>
      </c>
    </row>
    <row r="188" spans="1:9" s="44" customFormat="1" ht="12.75" x14ac:dyDescent="0.2">
      <c r="A188" s="44" t="s">
        <v>686</v>
      </c>
      <c r="D188" s="47">
        <f>INDEX('Raw Data'!$C$2:$LO$69,$B$1,173)</f>
        <v>54</v>
      </c>
      <c r="F188" s="44" t="s">
        <v>697</v>
      </c>
      <c r="I188" s="47">
        <f>INDEX('Raw Data'!$C$2:$LO$69,$B$1,209)</f>
        <v>136</v>
      </c>
    </row>
    <row r="189" spans="1:9" s="44" customFormat="1" ht="12.75" x14ac:dyDescent="0.2">
      <c r="A189" s="44" t="s">
        <v>690</v>
      </c>
      <c r="D189" s="47">
        <f>INDEX('Raw Data'!$C$2:$LO$69,$B$1,174)</f>
        <v>35</v>
      </c>
      <c r="F189" s="44" t="s">
        <v>698</v>
      </c>
      <c r="I189" s="47">
        <f>INDEX('Raw Data'!$C$2:$LO$69,$B$1,210)</f>
        <v>133</v>
      </c>
    </row>
    <row r="190" spans="1:9" s="44" customFormat="1" ht="12.75" x14ac:dyDescent="0.2">
      <c r="A190" s="44" t="s">
        <v>687</v>
      </c>
      <c r="D190" s="47">
        <f>INDEX('Raw Data'!$C$2:$LO$69,$B$1,175)</f>
        <v>31</v>
      </c>
      <c r="F190" s="44" t="s">
        <v>699</v>
      </c>
      <c r="I190" s="47">
        <f>INDEX('Raw Data'!$C$2:$LO$69,$B$1,211)</f>
        <v>106</v>
      </c>
    </row>
    <row r="191" spans="1:9" s="44" customFormat="1" ht="12.75" x14ac:dyDescent="0.2">
      <c r="A191" s="44" t="s">
        <v>689</v>
      </c>
      <c r="D191" s="47">
        <f>INDEX('Raw Data'!$C$2:$LO$69,$B$1,176)</f>
        <v>55</v>
      </c>
    </row>
    <row r="192" spans="1:9" s="44" customFormat="1" ht="12.75" x14ac:dyDescent="0.2">
      <c r="A192" s="44" t="s">
        <v>691</v>
      </c>
      <c r="D192" s="47">
        <f>INDEX('Raw Data'!$C$2:$LO$69,$B$1,177)</f>
        <v>44</v>
      </c>
      <c r="F192" s="72" t="s">
        <v>808</v>
      </c>
      <c r="G192" s="71"/>
      <c r="I192" s="45" t="s">
        <v>742</v>
      </c>
    </row>
    <row r="193" spans="1:9" s="44" customFormat="1" ht="12.75" x14ac:dyDescent="0.2">
      <c r="A193" s="44" t="s">
        <v>692</v>
      </c>
      <c r="D193" s="47">
        <f>INDEX('Raw Data'!$C$2:$LO$69,$B$1,178)</f>
        <v>60</v>
      </c>
      <c r="F193" s="44" t="s">
        <v>702</v>
      </c>
      <c r="I193" s="68">
        <f>INDEX('Raw Data'!$C$2:$LO$69,$B$1,180)</f>
        <v>3.2759999999999998</v>
      </c>
    </row>
    <row r="194" spans="1:9" s="44" customFormat="1" ht="12.75" x14ac:dyDescent="0.2">
      <c r="A194" s="44" t="s">
        <v>693</v>
      </c>
      <c r="D194" s="47">
        <f>INDEX('Raw Data'!$C$2:$LO$69,$B$1,179)</f>
        <v>37</v>
      </c>
      <c r="F194" s="44" t="s">
        <v>703</v>
      </c>
      <c r="I194" s="68">
        <f>INDEX('Raw Data'!$C$2:$LO$69,$B$1,181)</f>
        <v>1.238</v>
      </c>
    </row>
    <row r="195" spans="1:9" s="44" customFormat="1" ht="12.75" x14ac:dyDescent="0.2">
      <c r="F195" s="44" t="s">
        <v>704</v>
      </c>
      <c r="I195" s="68">
        <f>INDEX('Raw Data'!$C$2:$LO$69,$B$1,182)</f>
        <v>7.5999999999999998E-2</v>
      </c>
    </row>
    <row r="196" spans="1:9" s="44" customFormat="1" ht="12.75" x14ac:dyDescent="0.2">
      <c r="A196" s="72" t="s">
        <v>799</v>
      </c>
      <c r="B196" s="45" t="s">
        <v>743</v>
      </c>
      <c r="C196" s="45" t="s">
        <v>783</v>
      </c>
      <c r="D196" s="45" t="s">
        <v>465</v>
      </c>
      <c r="F196" s="44" t="s">
        <v>498</v>
      </c>
      <c r="I196" s="68">
        <f>INDEX('Raw Data'!$C$2:$LO$69,$B$1,183)</f>
        <v>4.8000000000000001E-2</v>
      </c>
    </row>
    <row r="197" spans="1:9" s="44" customFormat="1" ht="12.75" x14ac:dyDescent="0.2">
      <c r="A197" s="44" t="s">
        <v>726</v>
      </c>
      <c r="B197" s="55">
        <f>INDEX('Raw Data'!$C$2:$LO$69,$B$1,125)</f>
        <v>154142.15</v>
      </c>
      <c r="F197" s="44" t="s">
        <v>705</v>
      </c>
      <c r="I197" s="68">
        <f>INDEX('Raw Data'!$C$2:$LO$69,$B$1,184)</f>
        <v>-1.726</v>
      </c>
    </row>
    <row r="198" spans="1:9" s="44" customFormat="1" ht="12.75" x14ac:dyDescent="0.2">
      <c r="A198" s="44" t="s">
        <v>727</v>
      </c>
      <c r="B198" s="55">
        <f>INDEX('Raw Data'!$C$2:$LO$69,$B$1,126)</f>
        <v>71580.509999999995</v>
      </c>
      <c r="C198" s="48">
        <f>B198/B$197</f>
        <v>0.46437985975931956</v>
      </c>
      <c r="D198" s="49">
        <f>100*C198/US_Totals!C201</f>
        <v>101.659182597541</v>
      </c>
      <c r="F198" s="44" t="s">
        <v>706</v>
      </c>
      <c r="I198" s="68">
        <f>INDEX('Raw Data'!$C$2:$LO$69,$B$1,185)</f>
        <v>0.02</v>
      </c>
    </row>
    <row r="199" spans="1:9" s="44" customFormat="1" ht="12.75" x14ac:dyDescent="0.2">
      <c r="A199" s="44" t="s">
        <v>728</v>
      </c>
      <c r="B199" s="55">
        <f>B197-B198</f>
        <v>82561.64</v>
      </c>
      <c r="C199" s="48">
        <f>B199/B$197</f>
        <v>0.5356201402406805</v>
      </c>
      <c r="D199" s="49">
        <f>100*C199/US_Totals!C202</f>
        <v>98.604718787170057</v>
      </c>
      <c r="F199" s="44" t="s">
        <v>493</v>
      </c>
      <c r="I199" s="68">
        <f>INDEX('Raw Data'!$C$2:$LO$69,$B$1,186)</f>
        <v>-4.4999999999999998E-2</v>
      </c>
    </row>
    <row r="200" spans="1:9" s="44" customFormat="1" ht="12.75" x14ac:dyDescent="0.2">
      <c r="F200" s="44" t="s">
        <v>707</v>
      </c>
      <c r="I200" s="68">
        <f>INDEX('Raw Data'!$C$2:$LO$69,$B$1,187)</f>
        <v>-0.23699999999999999</v>
      </c>
    </row>
    <row r="201" spans="1:9" s="44" customFormat="1" ht="12.75" x14ac:dyDescent="0.2">
      <c r="A201" s="44" t="s">
        <v>729</v>
      </c>
      <c r="B201" s="55">
        <f>INDEX('Raw Data'!$C$2:$LO$69,$B$1,129)</f>
        <v>5661.05</v>
      </c>
      <c r="C201" s="48">
        <f t="shared" ref="C201:C217" si="19">B201/B$197</f>
        <v>3.6726164777122934E-2</v>
      </c>
      <c r="D201" s="49">
        <f>100*C201/US_Totals!C204</f>
        <v>104.89104120959838</v>
      </c>
      <c r="F201" s="44" t="s">
        <v>708</v>
      </c>
      <c r="I201" s="68">
        <f>INDEX('Raw Data'!$C$2:$LO$69,$B$1,188)</f>
        <v>-6.7000000000000004E-2</v>
      </c>
    </row>
    <row r="202" spans="1:9" s="44" customFormat="1" ht="12.75" x14ac:dyDescent="0.2">
      <c r="A202" s="44" t="s">
        <v>731</v>
      </c>
      <c r="B202" s="55">
        <f>INDEX('Raw Data'!$C$2:$LO$69,$B$1,127)</f>
        <v>5936.45</v>
      </c>
      <c r="C202" s="48">
        <f t="shared" si="19"/>
        <v>3.8512827283127944E-2</v>
      </c>
      <c r="D202" s="49">
        <f>100*C202/US_Totals!C205</f>
        <v>85.89026835580853</v>
      </c>
      <c r="F202" s="44" t="s">
        <v>709</v>
      </c>
      <c r="I202" s="68">
        <f>INDEX('Raw Data'!$C$2:$LO$69,$B$1,189)</f>
        <v>-0.34100000000000003</v>
      </c>
    </row>
    <row r="203" spans="1:9" s="44" customFormat="1" ht="12.75" x14ac:dyDescent="0.2">
      <c r="A203" s="44" t="s">
        <v>532</v>
      </c>
      <c r="B203" s="55">
        <f>INDEX('Raw Data'!$C$2:$LO$69,$B$1,130)</f>
        <v>6076.34</v>
      </c>
      <c r="C203" s="48">
        <f t="shared" si="19"/>
        <v>3.9420366200938549E-2</v>
      </c>
      <c r="D203" s="49">
        <f>100*C203/US_Totals!C206</f>
        <v>104.11968310363596</v>
      </c>
      <c r="F203" s="44" t="s">
        <v>710</v>
      </c>
      <c r="I203" s="68">
        <f>INDEX('Raw Data'!$C$2:$LO$69,$B$1,190)</f>
        <v>4.3999999999999997E-2</v>
      </c>
    </row>
    <row r="204" spans="1:9" s="44" customFormat="1" ht="12.75" x14ac:dyDescent="0.2">
      <c r="A204" s="44" t="s">
        <v>730</v>
      </c>
      <c r="B204" s="55">
        <f>INDEX('Raw Data'!$C$2:$LO$69,$B$1,131)</f>
        <v>9210.2000000000007</v>
      </c>
      <c r="C204" s="48">
        <f t="shared" si="19"/>
        <v>5.9751339915785531E-2</v>
      </c>
      <c r="D204" s="49">
        <f>100*C204/US_Totals!C207</f>
        <v>106.49160525625847</v>
      </c>
      <c r="F204" s="44" t="s">
        <v>711</v>
      </c>
      <c r="I204" s="68">
        <f>INDEX('Raw Data'!$C$2:$LO$69,$B$1,191)</f>
        <v>0.03</v>
      </c>
    </row>
    <row r="205" spans="1:9" s="44" customFormat="1" ht="12.75" x14ac:dyDescent="0.2">
      <c r="A205" s="44" t="s">
        <v>732</v>
      </c>
      <c r="B205" s="55">
        <f>INDEX('Raw Data'!$C$2:$LO$69,$B$1,132)</f>
        <v>21758.07</v>
      </c>
      <c r="C205" s="48">
        <f t="shared" si="19"/>
        <v>0.14115587462611623</v>
      </c>
      <c r="D205" s="49">
        <f>100*C205/US_Totals!C208</f>
        <v>96.66175923629801</v>
      </c>
      <c r="F205" s="44" t="s">
        <v>712</v>
      </c>
      <c r="I205" s="68">
        <f>INDEX('Raw Data'!$C$2:$LO$69,$B$1,192)</f>
        <v>-0.28999999999999998</v>
      </c>
    </row>
    <row r="206" spans="1:9" s="44" customFormat="1" ht="12.75" x14ac:dyDescent="0.2">
      <c r="A206" s="44" t="s">
        <v>741</v>
      </c>
      <c r="B206" s="55">
        <f>INDEX('Raw Data'!$C$2:$LO$69,$B$1,143)</f>
        <v>4676.8100000000004</v>
      </c>
      <c r="C206" s="48">
        <f t="shared" si="19"/>
        <v>3.0340889886380853E-2</v>
      </c>
      <c r="D206" s="49">
        <f>100*C206/US_Totals!C209</f>
        <v>120.30107317170393</v>
      </c>
      <c r="F206" s="44" t="s">
        <v>713</v>
      </c>
      <c r="I206" s="68">
        <f>INDEX('Raw Data'!$C$2:$LO$69,$B$1,193)</f>
        <v>0.751</v>
      </c>
    </row>
    <row r="207" spans="1:9" s="44" customFormat="1" ht="12.75" x14ac:dyDescent="0.2">
      <c r="A207" s="44" t="s">
        <v>533</v>
      </c>
      <c r="B207" s="55">
        <f>INDEX('Raw Data'!$C$2:$LO$69,$B$1,133)</f>
        <v>12076</v>
      </c>
      <c r="C207" s="48">
        <f t="shared" si="19"/>
        <v>7.8343269508048249E-2</v>
      </c>
      <c r="D207" s="49">
        <f>100*C207/US_Totals!C210</f>
        <v>98.680303649936732</v>
      </c>
      <c r="F207" s="44" t="s">
        <v>714</v>
      </c>
      <c r="I207" s="68">
        <f>INDEX('Raw Data'!$C$2:$LO$69,$B$1,194)</f>
        <v>-6.7000000000000004E-2</v>
      </c>
    </row>
    <row r="208" spans="1:9" s="44" customFormat="1" ht="12.75" x14ac:dyDescent="0.2">
      <c r="A208" s="44" t="s">
        <v>735</v>
      </c>
      <c r="B208" s="55">
        <f>INDEX('Raw Data'!$C$2:$LO$69,$B$1,134)</f>
        <v>5648.06</v>
      </c>
      <c r="C208" s="48">
        <f t="shared" si="19"/>
        <v>3.6641891916000917E-2</v>
      </c>
      <c r="D208" s="49">
        <f>100*C208/US_Totals!C211</f>
        <v>106.31861026310564</v>
      </c>
      <c r="F208" s="44" t="s">
        <v>715</v>
      </c>
      <c r="I208" s="68">
        <f>INDEX('Raw Data'!$C$2:$LO$69,$B$1,195)</f>
        <v>-9.0999999999999998E-2</v>
      </c>
    </row>
    <row r="209" spans="1:9" s="44" customFormat="1" ht="12.75" x14ac:dyDescent="0.2">
      <c r="A209" s="44" t="s">
        <v>733</v>
      </c>
      <c r="B209" s="55">
        <f>INDEX('Raw Data'!$C$2:$LO$69,$B$1,135)</f>
        <v>32164.639999999999</v>
      </c>
      <c r="C209" s="48">
        <f t="shared" si="19"/>
        <v>0.20866868666357644</v>
      </c>
      <c r="D209" s="49">
        <f>100*C209/US_Totals!C212</f>
        <v>100.9980851524339</v>
      </c>
      <c r="F209" s="44" t="s">
        <v>716</v>
      </c>
      <c r="I209" s="68">
        <f>INDEX('Raw Data'!$C$2:$LO$69,$B$1,196)</f>
        <v>0.997</v>
      </c>
    </row>
    <row r="210" spans="1:9" s="44" customFormat="1" ht="12.75" x14ac:dyDescent="0.2">
      <c r="A210" s="44" t="s">
        <v>734</v>
      </c>
      <c r="B210" s="55">
        <f>INDEX('Raw Data'!$C$2:$LO$69,$B$1,136)</f>
        <v>6401.46</v>
      </c>
      <c r="C210" s="48">
        <f t="shared" si="19"/>
        <v>4.1529588110714687E-2</v>
      </c>
      <c r="D210" s="49">
        <f>100*C210/US_Totals!C213</f>
        <v>143.37299665489701</v>
      </c>
      <c r="F210" s="44" t="s">
        <v>717</v>
      </c>
      <c r="I210" s="68">
        <f>INDEX('Raw Data'!$C$2:$LO$69,$B$1,197)</f>
        <v>2.5999999999999999E-2</v>
      </c>
    </row>
    <row r="211" spans="1:9" s="44" customFormat="1" ht="12.75" x14ac:dyDescent="0.2">
      <c r="A211" s="44" t="s">
        <v>736</v>
      </c>
      <c r="B211" s="55">
        <f>INDEX('Raw Data'!$C$2:$LO$69,$B$1,137)</f>
        <v>2966.16</v>
      </c>
      <c r="C211" s="48">
        <f t="shared" si="19"/>
        <v>1.9243016916528022E-2</v>
      </c>
      <c r="D211" s="49">
        <f>100*C211/US_Totals!C214</f>
        <v>131.54688864217258</v>
      </c>
      <c r="F211" s="44" t="s">
        <v>718</v>
      </c>
      <c r="I211" s="68">
        <f>INDEX('Raw Data'!$C$2:$LO$69,$B$1,198)</f>
        <v>0.30199999999999999</v>
      </c>
    </row>
    <row r="212" spans="1:9" s="44" customFormat="1" ht="12.75" x14ac:dyDescent="0.2">
      <c r="A212" s="44" t="s">
        <v>737</v>
      </c>
      <c r="B212" s="55">
        <f>INDEX('Raw Data'!$C$2:$LO$69,$B$1,138)</f>
        <v>2053.06</v>
      </c>
      <c r="C212" s="48">
        <f t="shared" si="19"/>
        <v>1.3319264068913013E-2</v>
      </c>
      <c r="D212" s="49">
        <f>100*C212/US_Totals!C215</f>
        <v>102.81742427820116</v>
      </c>
      <c r="F212" s="44" t="s">
        <v>719</v>
      </c>
      <c r="I212" s="68">
        <f>INDEX('Raw Data'!$C$2:$LO$69,$B$1,199)</f>
        <v>-0.29499999999999998</v>
      </c>
    </row>
    <row r="213" spans="1:9" s="44" customFormat="1" ht="12.75" x14ac:dyDescent="0.2">
      <c r="A213" s="44" t="s">
        <v>738</v>
      </c>
      <c r="B213" s="55">
        <f>INDEX('Raw Data'!$C$2:$LO$69,$B$1,128)</f>
        <v>1261.72</v>
      </c>
      <c r="C213" s="48">
        <f t="shared" si="19"/>
        <v>8.1854314345557004E-3</v>
      </c>
      <c r="D213" s="49">
        <f>100*C213/US_Totals!C216</f>
        <v>108.27909142581566</v>
      </c>
      <c r="F213" s="44" t="s">
        <v>720</v>
      </c>
      <c r="I213" s="68">
        <f>INDEX('Raw Data'!$C$2:$LO$69,$B$1,200)</f>
        <v>-0.01</v>
      </c>
    </row>
    <row r="214" spans="1:9" s="44" customFormat="1" ht="12.75" x14ac:dyDescent="0.2">
      <c r="A214" s="44" t="s">
        <v>739</v>
      </c>
      <c r="B214" s="55">
        <f>INDEX('Raw Data'!$C$2:$LO$69,$B$1,139)</f>
        <v>346.66</v>
      </c>
      <c r="C214" s="48">
        <f t="shared" si="19"/>
        <v>2.2489630513133495E-3</v>
      </c>
      <c r="D214" s="49">
        <f>100*C214/US_Totals!C217</f>
        <v>101.31426425683539</v>
      </c>
      <c r="F214" s="44" t="s">
        <v>721</v>
      </c>
      <c r="I214" s="68">
        <f>INDEX('Raw Data'!$C$2:$LO$69,$B$1,201)</f>
        <v>-0.64400000000000002</v>
      </c>
    </row>
    <row r="215" spans="1:9" s="44" customFormat="1" ht="12.75" x14ac:dyDescent="0.2">
      <c r="A215" s="44" t="s">
        <v>740</v>
      </c>
      <c r="B215" s="55">
        <f>INDEX('Raw Data'!$C$2:$LO$69,$B$1,140)</f>
        <v>659.39</v>
      </c>
      <c r="C215" s="48">
        <f t="shared" si="19"/>
        <v>4.2778046108737939E-3</v>
      </c>
      <c r="D215" s="49">
        <f>100*C215/US_Totals!C218</f>
        <v>71.198551049436603</v>
      </c>
      <c r="F215" s="44" t="s">
        <v>722</v>
      </c>
      <c r="I215" s="68">
        <f>INDEX('Raw Data'!$C$2:$LO$69,$B$1,202)</f>
        <v>5.3999999999999999E-2</v>
      </c>
    </row>
    <row r="216" spans="1:9" s="44" customFormat="1" ht="12.75" x14ac:dyDescent="0.2">
      <c r="A216" s="44" t="s">
        <v>526</v>
      </c>
      <c r="B216" s="55">
        <f>INDEX('Raw Data'!$C$2:$LO$69,$B$1,141)</f>
        <v>27252.7</v>
      </c>
      <c r="C216" s="48">
        <f t="shared" si="19"/>
        <v>0.17680238662818704</v>
      </c>
      <c r="D216" s="49">
        <f>100*C216/US_Totals!C219</f>
        <v>94.213240773664722</v>
      </c>
      <c r="F216" s="44" t="s">
        <v>723</v>
      </c>
      <c r="I216" s="68">
        <f>INDEX('Raw Data'!$C$2:$LO$69,$B$1,203)</f>
        <v>0.39700000000000002</v>
      </c>
    </row>
    <row r="217" spans="1:9" s="44" customFormat="1" ht="12.75" x14ac:dyDescent="0.2">
      <c r="A217" s="44" t="s">
        <v>527</v>
      </c>
      <c r="B217" s="55">
        <f>INDEX('Raw Data'!$C$2:$LO$69,$B$1,142)</f>
        <v>9993.3799999999992</v>
      </c>
      <c r="C217" s="48">
        <f t="shared" si="19"/>
        <v>6.4832234401816763E-2</v>
      </c>
      <c r="D217" s="49">
        <f>100*C217/US_Totals!C220</f>
        <v>87.063274826284825</v>
      </c>
      <c r="F217" s="44" t="s">
        <v>724</v>
      </c>
      <c r="I217" s="68">
        <f>INDEX('Raw Data'!$C$2:$LO$69,$B$1,204)</f>
        <v>1E-3</v>
      </c>
    </row>
    <row r="218" spans="1:9" s="44" customFormat="1" ht="12.75" x14ac:dyDescent="0.2">
      <c r="F218" s="44" t="s">
        <v>725</v>
      </c>
      <c r="I218" s="68">
        <f>INDEX('Raw Data'!$C$2:$LO$69,$B$1,205)</f>
        <v>0.17399999999999999</v>
      </c>
    </row>
    <row r="219" spans="1:9" s="44" customFormat="1" ht="12.75" x14ac:dyDescent="0.2">
      <c r="A219" s="72" t="s">
        <v>766</v>
      </c>
      <c r="B219" s="55">
        <f>SUM(B220:B229)</f>
        <v>1293924</v>
      </c>
      <c r="C219" s="45" t="s">
        <v>784</v>
      </c>
      <c r="D219" s="45" t="s">
        <v>465</v>
      </c>
    </row>
    <row r="220" spans="1:9" s="44" customFormat="1" ht="12.75" x14ac:dyDescent="0.2">
      <c r="A220" s="44" t="s">
        <v>745</v>
      </c>
      <c r="B220" s="55">
        <f>INDEX('Raw Data'!$C$2:$LO$69,$B$1,144)</f>
        <v>139934</v>
      </c>
      <c r="C220" s="48">
        <f t="shared" ref="C220:C229" si="20">B220/B$219</f>
        <v>0.1081470009057719</v>
      </c>
      <c r="D220" s="49">
        <f>100*B220/US_Totals!B223</f>
        <v>366.54966471081309</v>
      </c>
      <c r="F220" s="72" t="s">
        <v>767</v>
      </c>
      <c r="G220" s="55">
        <f>SUM(G221:G226)</f>
        <v>2547794</v>
      </c>
      <c r="H220" s="45" t="s">
        <v>784</v>
      </c>
      <c r="I220" s="45" t="s">
        <v>465</v>
      </c>
    </row>
    <row r="221" spans="1:9" s="44" customFormat="1" ht="12.75" x14ac:dyDescent="0.2">
      <c r="A221" s="44" t="s">
        <v>746</v>
      </c>
      <c r="B221" s="55">
        <f>INDEX('Raw Data'!$C$2:$LO$69,$B$1,145)</f>
        <v>14731</v>
      </c>
      <c r="C221" s="48">
        <f t="shared" si="20"/>
        <v>1.1384749026990767E-2</v>
      </c>
      <c r="D221" s="49">
        <f>100*B221/US_Totals!B224</f>
        <v>280.64393217755764</v>
      </c>
      <c r="F221" s="44" t="s">
        <v>755</v>
      </c>
      <c r="G221" s="55">
        <f>INDEX('Raw Data'!$C$2:$LO$69,$B$1,155)</f>
        <v>37576</v>
      </c>
      <c r="H221" s="48">
        <f>G221/G$220</f>
        <v>1.4748445125469328E-2</v>
      </c>
      <c r="I221" s="49">
        <f>100*G221/US_Totals!G224</f>
        <v>181.38636802471518</v>
      </c>
    </row>
    <row r="222" spans="1:9" s="44" customFormat="1" ht="12.75" x14ac:dyDescent="0.2">
      <c r="A222" s="44" t="s">
        <v>747</v>
      </c>
      <c r="B222" s="55">
        <f>INDEX('Raw Data'!$C$2:$LO$69,$B$1,146)</f>
        <v>2591</v>
      </c>
      <c r="C222" s="48">
        <f t="shared" si="20"/>
        <v>2.0024360008779494E-3</v>
      </c>
      <c r="D222" s="49">
        <f>100*B222/US_Totals!B225</f>
        <v>371.73601147776185</v>
      </c>
      <c r="F222" s="44" t="s">
        <v>758</v>
      </c>
      <c r="G222" s="55">
        <f>INDEX('Raw Data'!$C$2:$LO$69,$B$1,156)</f>
        <v>1620682</v>
      </c>
      <c r="H222" s="48">
        <f t="shared" ref="H222:H226" si="21">G222/G$220</f>
        <v>0.63611186775696937</v>
      </c>
      <c r="I222" s="49">
        <f>100*G222/US_Totals!G225</f>
        <v>862.48696170466394</v>
      </c>
    </row>
    <row r="223" spans="1:9" s="44" customFormat="1" ht="12.75" x14ac:dyDescent="0.2">
      <c r="A223" s="44" t="s">
        <v>748</v>
      </c>
      <c r="B223" s="55">
        <f>INDEX('Raw Data'!$C$2:$LO$69,$B$1,147)</f>
        <v>44998</v>
      </c>
      <c r="C223" s="48">
        <f t="shared" si="20"/>
        <v>3.4776385630067914E-2</v>
      </c>
      <c r="D223" s="49">
        <f>100*B223/US_Totals!B226</f>
        <v>479.51832907075874</v>
      </c>
      <c r="F223" s="44" t="s">
        <v>756</v>
      </c>
      <c r="G223" s="55">
        <f>INDEX('Raw Data'!$C$2:$LO$69,$B$1,157)</f>
        <v>187813</v>
      </c>
      <c r="H223" s="48">
        <f t="shared" si="21"/>
        <v>7.3715928367835082E-2</v>
      </c>
      <c r="I223" s="49">
        <f>100*G223/US_Totals!G226</f>
        <v>391.7994826435247</v>
      </c>
    </row>
    <row r="224" spans="1:9" s="44" customFormat="1" ht="12.75" x14ac:dyDescent="0.2">
      <c r="A224" s="44" t="s">
        <v>749</v>
      </c>
      <c r="B224" s="55">
        <f>INDEX('Raw Data'!$C$2:$LO$69,$B$1,148)</f>
        <v>212025</v>
      </c>
      <c r="C224" s="48">
        <f t="shared" si="20"/>
        <v>0.16386201971676853</v>
      </c>
      <c r="D224" s="49">
        <f>100*B224/US_Totals!B227</f>
        <v>453.93722702748994</v>
      </c>
      <c r="F224" s="44" t="s">
        <v>757</v>
      </c>
      <c r="G224" s="55">
        <f>INDEX('Raw Data'!$C$2:$LO$69,$B$1,158)</f>
        <v>85135</v>
      </c>
      <c r="H224" s="48">
        <f t="shared" si="21"/>
        <v>3.3415181918161362E-2</v>
      </c>
      <c r="I224" s="49">
        <f>100*G224/US_Totals!G227</f>
        <v>389.41999817034122</v>
      </c>
    </row>
    <row r="225" spans="1:9" s="44" customFormat="1" ht="12.75" x14ac:dyDescent="0.2">
      <c r="A225" s="44" t="s">
        <v>750</v>
      </c>
      <c r="B225" s="55">
        <f>INDEX('Raw Data'!$C$2:$LO$69,$B$1,149)</f>
        <v>340278</v>
      </c>
      <c r="C225" s="48">
        <f t="shared" si="20"/>
        <v>0.26298144249584982</v>
      </c>
      <c r="D225" s="49">
        <f>100*B225/US_Totals!B228</f>
        <v>777.33409480296973</v>
      </c>
      <c r="F225" s="44" t="s">
        <v>759</v>
      </c>
      <c r="G225" s="55">
        <f>INDEX('Raw Data'!$C$2:$LO$69,$B$1,159)</f>
        <v>598781</v>
      </c>
      <c r="H225" s="48">
        <f t="shared" si="21"/>
        <v>0.23501939324764876</v>
      </c>
      <c r="I225" s="49">
        <f>100*G225/US_Totals!G228</f>
        <v>453.5566850226104</v>
      </c>
    </row>
    <row r="226" spans="1:9" s="44" customFormat="1" ht="12.75" x14ac:dyDescent="0.2">
      <c r="A226" s="44" t="s">
        <v>751</v>
      </c>
      <c r="B226" s="55">
        <f>INDEX('Raw Data'!$C$2:$LO$69,$B$1,150)</f>
        <v>411202</v>
      </c>
      <c r="C226" s="48">
        <f t="shared" si="20"/>
        <v>0.31779455362138737</v>
      </c>
      <c r="D226" s="49">
        <f>100*B226/US_Totals!B229</f>
        <v>360.95047488632571</v>
      </c>
      <c r="F226" s="44" t="s">
        <v>760</v>
      </c>
      <c r="G226" s="55">
        <f>INDEX('Raw Data'!$C$2:$LO$69,$B$1,160)</f>
        <v>17807</v>
      </c>
      <c r="H226" s="48">
        <f t="shared" si="21"/>
        <v>6.989183583916125E-3</v>
      </c>
      <c r="I226" s="49">
        <f>100*G226/US_Totals!G229</f>
        <v>299.17674731182797</v>
      </c>
    </row>
    <row r="227" spans="1:9" s="44" customFormat="1" ht="12.75" x14ac:dyDescent="0.2">
      <c r="A227" s="44" t="s">
        <v>752</v>
      </c>
      <c r="B227" s="55">
        <f>INDEX('Raw Data'!$C$2:$LO$69,$B$1,151)</f>
        <v>21716</v>
      </c>
      <c r="C227" s="48">
        <f t="shared" si="20"/>
        <v>1.6783056810137226E-2</v>
      </c>
      <c r="D227" s="49">
        <f>100*B227/US_Totals!B230</f>
        <v>287.78160614895307</v>
      </c>
    </row>
    <row r="228" spans="1:9" s="44" customFormat="1" ht="12.75" x14ac:dyDescent="0.2">
      <c r="A228" s="44" t="s">
        <v>753</v>
      </c>
      <c r="B228" s="55">
        <f>INDEX('Raw Data'!$C$2:$LO$69,$B$1,152)</f>
        <v>93021</v>
      </c>
      <c r="C228" s="48">
        <f t="shared" si="20"/>
        <v>7.1890621087482731E-2</v>
      </c>
      <c r="D228" s="49">
        <f>100*B228/US_Totals!B231</f>
        <v>418.99463988108641</v>
      </c>
      <c r="F228" s="72" t="s">
        <v>744</v>
      </c>
      <c r="G228" s="55">
        <f>SUM(G229:G233)</f>
        <v>605674</v>
      </c>
      <c r="H228" s="45" t="s">
        <v>785</v>
      </c>
      <c r="I228" s="45" t="s">
        <v>465</v>
      </c>
    </row>
    <row r="229" spans="1:9" s="44" customFormat="1" ht="12.75" x14ac:dyDescent="0.2">
      <c r="A229" s="44" t="s">
        <v>754</v>
      </c>
      <c r="B229" s="55">
        <f>INDEX('Raw Data'!$C$2:$LO$69,$B$1,153)</f>
        <v>13428</v>
      </c>
      <c r="C229" s="48">
        <f t="shared" si="20"/>
        <v>1.0377734704665808E-2</v>
      </c>
      <c r="D229" s="49">
        <f>100*B229/US_Totals!B232</f>
        <v>324.19121197489136</v>
      </c>
      <c r="F229" s="44" t="s">
        <v>761</v>
      </c>
      <c r="G229" s="55">
        <f>INDEX('Raw Data'!$C$2:$LO$69,$B$1,162)</f>
        <v>542606</v>
      </c>
      <c r="H229" s="48">
        <f>G229/G$228</f>
        <v>0.89587137635097425</v>
      </c>
      <c r="I229" s="49">
        <f>100*G229/US_Totals!G232</f>
        <v>751.17811556884567</v>
      </c>
    </row>
    <row r="230" spans="1:9" s="44" customFormat="1" ht="12.75" x14ac:dyDescent="0.2">
      <c r="C230" s="48"/>
      <c r="F230" s="44" t="s">
        <v>762</v>
      </c>
      <c r="G230" s="55">
        <f>INDEX('Raw Data'!$C$2:$LO$69,$B$1,163)</f>
        <v>20867</v>
      </c>
      <c r="H230" s="48">
        <f>G230/G$228</f>
        <v>3.4452527267143714E-2</v>
      </c>
      <c r="I230" s="49">
        <f>100*G230/US_Totals!G233</f>
        <v>166.37697336947855</v>
      </c>
    </row>
    <row r="231" spans="1:9" s="44" customFormat="1" ht="12.75" x14ac:dyDescent="0.2">
      <c r="F231" s="44" t="s">
        <v>763</v>
      </c>
      <c r="G231" s="55">
        <f>INDEX('Raw Data'!$C$2:$LO$69,$B$1,164)</f>
        <v>4014</v>
      </c>
      <c r="H231" s="48">
        <f>G231/G$228</f>
        <v>6.6273275722583437E-3</v>
      </c>
      <c r="I231" s="49">
        <f>100*G231/US_Totals!G234</f>
        <v>525.3926701570681</v>
      </c>
    </row>
    <row r="232" spans="1:9" s="44" customFormat="1" ht="12.75" x14ac:dyDescent="0.2">
      <c r="F232" s="44" t="s">
        <v>764</v>
      </c>
      <c r="G232" s="55">
        <f>INDEX('Raw Data'!$C$2:$LO$69,$B$1,165)</f>
        <v>3838</v>
      </c>
      <c r="H232" s="48">
        <f>G232/G$228</f>
        <v>6.3367422078543902E-3</v>
      </c>
      <c r="I232" s="49">
        <f>100*G232/US_Totals!G235</f>
        <v>167.8915135608049</v>
      </c>
    </row>
    <row r="233" spans="1:9" s="44" customFormat="1" ht="12.75" x14ac:dyDescent="0.2">
      <c r="F233" s="44" t="s">
        <v>765</v>
      </c>
      <c r="G233" s="55">
        <f>INDEX('Raw Data'!$C$2:$LO$69,$B$1,166)</f>
        <v>34349</v>
      </c>
      <c r="H233" s="48">
        <f>G233/G$228</f>
        <v>5.6712026601769272E-2</v>
      </c>
      <c r="I233" s="49">
        <f>100*G233/US_Totals!G236</f>
        <v>370.10020471931904</v>
      </c>
    </row>
    <row r="234" spans="1:9" s="44" customFormat="1" ht="12.75" x14ac:dyDescent="0.2"/>
    <row r="235" spans="1:9" s="44" customFormat="1" ht="12.75" x14ac:dyDescent="0.2"/>
    <row r="236" spans="1:9" s="44" customFormat="1" ht="12.75" x14ac:dyDescent="0.2"/>
    <row r="237" spans="1:9" s="44" customFormat="1" ht="12.75" x14ac:dyDescent="0.2"/>
    <row r="238" spans="1:9" s="44" customFormat="1" ht="12.75" x14ac:dyDescent="0.2"/>
    <row r="239" spans="1:9" s="44" customFormat="1" ht="12.75" x14ac:dyDescent="0.2"/>
    <row r="240" spans="1:9" s="44" customFormat="1" ht="12.75" x14ac:dyDescent="0.2"/>
    <row r="241" s="44" customFormat="1" ht="12.75" x14ac:dyDescent="0.2"/>
    <row r="242" s="44" customFormat="1" ht="12.75" x14ac:dyDescent="0.2"/>
    <row r="243" s="44" customFormat="1" ht="12.75" x14ac:dyDescent="0.2"/>
    <row r="244" s="44" customFormat="1" ht="12.75" x14ac:dyDescent="0.2"/>
    <row r="245" s="44" customFormat="1" ht="12.75" x14ac:dyDescent="0.2"/>
    <row r="246" s="44" customFormat="1" ht="12.75" x14ac:dyDescent="0.2"/>
    <row r="247" s="44" customFormat="1" ht="12.75" x14ac:dyDescent="0.2"/>
    <row r="248" s="44" customFormat="1" ht="12.75" x14ac:dyDescent="0.2"/>
    <row r="249" s="44" customFormat="1" ht="12.75" x14ac:dyDescent="0.2"/>
    <row r="250" s="44" customFormat="1" ht="12.75" x14ac:dyDescent="0.2"/>
    <row r="251" s="44" customFormat="1" ht="12.75" x14ac:dyDescent="0.2"/>
    <row r="252" s="44" customFormat="1" ht="12.75" x14ac:dyDescent="0.2"/>
    <row r="253" s="44" customFormat="1" ht="12.75" x14ac:dyDescent="0.2"/>
    <row r="254" s="44" customFormat="1" ht="12.75" x14ac:dyDescent="0.2"/>
    <row r="255" s="44" customFormat="1" ht="12.75" x14ac:dyDescent="0.2"/>
    <row r="256" s="44" customFormat="1" ht="12.75" x14ac:dyDescent="0.2"/>
    <row r="257" s="44" customFormat="1" ht="12.75" x14ac:dyDescent="0.2"/>
    <row r="258" s="44" customFormat="1" ht="12.75" x14ac:dyDescent="0.2"/>
    <row r="259" s="44" customFormat="1" ht="12.75" x14ac:dyDescent="0.2"/>
    <row r="260" s="44" customFormat="1" ht="12.75" x14ac:dyDescent="0.2"/>
    <row r="261" s="44" customFormat="1" ht="12.75" x14ac:dyDescent="0.2"/>
    <row r="262" s="44" customFormat="1" ht="12.75" x14ac:dyDescent="0.2"/>
    <row r="263" s="44" customFormat="1" ht="12.75" x14ac:dyDescent="0.2"/>
    <row r="264" s="44" customFormat="1" ht="12.75" x14ac:dyDescent="0.2"/>
    <row r="265" s="44" customFormat="1" ht="12.75" x14ac:dyDescent="0.2"/>
    <row r="266" s="44" customFormat="1" ht="12.75" x14ac:dyDescent="0.2"/>
    <row r="267" s="44" customFormat="1" ht="12.75" x14ac:dyDescent="0.2"/>
    <row r="268" s="44" customFormat="1" ht="12.75" x14ac:dyDescent="0.2"/>
    <row r="269" s="44" customFormat="1" ht="12.75" x14ac:dyDescent="0.2"/>
    <row r="270" s="44" customFormat="1" ht="12.75" x14ac:dyDescent="0.2"/>
    <row r="271" s="44" customFormat="1" ht="12.75" x14ac:dyDescent="0.2"/>
    <row r="272" s="44" customFormat="1" ht="12.75" x14ac:dyDescent="0.2"/>
    <row r="273" s="44" customFormat="1" ht="12.75" x14ac:dyDescent="0.2"/>
    <row r="274" s="44" customFormat="1" ht="12.75" x14ac:dyDescent="0.2"/>
    <row r="275" s="44" customFormat="1" ht="12.75" x14ac:dyDescent="0.2"/>
    <row r="276" s="44" customFormat="1" ht="12.75" x14ac:dyDescent="0.2"/>
    <row r="277" s="44" customFormat="1" ht="12.75" x14ac:dyDescent="0.2"/>
    <row r="278" s="44" customFormat="1" ht="12.75" x14ac:dyDescent="0.2"/>
    <row r="279" s="44" customFormat="1" ht="12.75" x14ac:dyDescent="0.2"/>
    <row r="280" s="44" customFormat="1" ht="12.75" x14ac:dyDescent="0.2"/>
    <row r="281" s="44" customFormat="1" ht="12.75" x14ac:dyDescent="0.2"/>
    <row r="282" s="44" customFormat="1" ht="12.75" x14ac:dyDescent="0.2"/>
    <row r="283" s="44" customFormat="1" ht="12.75" x14ac:dyDescent="0.2"/>
    <row r="284" s="44" customFormat="1" ht="12.75" x14ac:dyDescent="0.2"/>
    <row r="285" s="44" customFormat="1" ht="12.75" x14ac:dyDescent="0.2"/>
    <row r="286" s="44" customFormat="1" ht="12.75" x14ac:dyDescent="0.2"/>
    <row r="287" s="44" customFormat="1" ht="12.75" x14ac:dyDescent="0.2"/>
    <row r="288" s="44" customFormat="1" ht="12.75" x14ac:dyDescent="0.2"/>
    <row r="289" s="44" customFormat="1" ht="12.75" x14ac:dyDescent="0.2"/>
    <row r="290" s="44" customFormat="1" ht="12.75" x14ac:dyDescent="0.2"/>
    <row r="291" s="44" customFormat="1" ht="12.75" x14ac:dyDescent="0.2"/>
    <row r="292" s="44" customFormat="1" ht="12.75" x14ac:dyDescent="0.2"/>
    <row r="293" s="44" customFormat="1" ht="12.75" x14ac:dyDescent="0.2"/>
    <row r="294" s="44" customFormat="1" ht="12.75" x14ac:dyDescent="0.2"/>
    <row r="295" s="44" customFormat="1" ht="12.75" x14ac:dyDescent="0.2"/>
    <row r="296" s="44" customFormat="1" ht="12.75" x14ac:dyDescent="0.2"/>
    <row r="297" s="44" customFormat="1" ht="12.75" x14ac:dyDescent="0.2"/>
    <row r="298" s="44" customFormat="1" ht="12.75" x14ac:dyDescent="0.2"/>
    <row r="299" s="44" customFormat="1" ht="12.75" x14ac:dyDescent="0.2"/>
    <row r="300" s="44" customFormat="1" ht="12.75" x14ac:dyDescent="0.2"/>
    <row r="301" s="44" customFormat="1" ht="12.75" x14ac:dyDescent="0.2"/>
    <row r="302" s="44" customFormat="1" ht="12.75" x14ac:dyDescent="0.2"/>
    <row r="303" s="44" customFormat="1" ht="12.75" x14ac:dyDescent="0.2"/>
    <row r="304" s="44" customFormat="1" ht="12.75" x14ac:dyDescent="0.2"/>
    <row r="305" s="44" customFormat="1" ht="12.75" x14ac:dyDescent="0.2"/>
    <row r="306" s="44" customFormat="1" ht="12.75" x14ac:dyDescent="0.2"/>
    <row r="307" s="44" customFormat="1" ht="12.75" x14ac:dyDescent="0.2"/>
    <row r="308" s="44" customFormat="1" ht="12.75" x14ac:dyDescent="0.2"/>
    <row r="309" s="44" customFormat="1" ht="12.75" x14ac:dyDescent="0.2"/>
    <row r="310" s="44" customFormat="1" ht="12.75" x14ac:dyDescent="0.2"/>
    <row r="311" s="44" customFormat="1" ht="12.75" x14ac:dyDescent="0.2"/>
    <row r="312" s="44" customFormat="1" ht="12.75" x14ac:dyDescent="0.2"/>
    <row r="313" s="44" customFormat="1" ht="12.75" x14ac:dyDescent="0.2"/>
    <row r="314" s="44" customFormat="1" ht="12.75" x14ac:dyDescent="0.2"/>
    <row r="315" s="44" customFormat="1" ht="12.75" x14ac:dyDescent="0.2"/>
    <row r="316" s="44" customFormat="1" ht="12.75" x14ac:dyDescent="0.2"/>
    <row r="317" s="44" customFormat="1" ht="12.75" x14ac:dyDescent="0.2"/>
    <row r="318" s="44" customFormat="1" ht="12.75" x14ac:dyDescent="0.2"/>
    <row r="319" s="44" customFormat="1" ht="12.75" x14ac:dyDescent="0.2"/>
    <row r="320" s="44" customFormat="1" ht="12.75" x14ac:dyDescent="0.2"/>
    <row r="321" s="44" customFormat="1" ht="12.75" x14ac:dyDescent="0.2"/>
    <row r="322" s="44" customFormat="1" ht="12.75" x14ac:dyDescent="0.2"/>
    <row r="323" s="44" customFormat="1" ht="12.75" x14ac:dyDescent="0.2"/>
    <row r="324" s="44" customFormat="1" ht="12.75" x14ac:dyDescent="0.2"/>
    <row r="325" s="44" customFormat="1" ht="12.75" x14ac:dyDescent="0.2"/>
    <row r="326" s="44" customFormat="1" ht="12.75" x14ac:dyDescent="0.2"/>
    <row r="327" s="44" customFormat="1" ht="12.75" x14ac:dyDescent="0.2"/>
    <row r="328" s="44" customFormat="1" ht="12.75" x14ac:dyDescent="0.2"/>
    <row r="329" s="44" customFormat="1" ht="12.75" x14ac:dyDescent="0.2"/>
    <row r="330" s="44" customFormat="1" ht="12.75" x14ac:dyDescent="0.2"/>
    <row r="331" s="44" customFormat="1" ht="12.75" x14ac:dyDescent="0.2"/>
    <row r="332" s="44" customFormat="1" ht="12.75" x14ac:dyDescent="0.2"/>
    <row r="333" s="44" customFormat="1" ht="12.75" x14ac:dyDescent="0.2"/>
    <row r="334" s="44" customFormat="1" ht="12.75" x14ac:dyDescent="0.2"/>
    <row r="335" s="44" customFormat="1" ht="12.75" x14ac:dyDescent="0.2"/>
    <row r="336" s="44" customFormat="1" ht="12.75" x14ac:dyDescent="0.2"/>
    <row r="337" s="44" customFormat="1" ht="12.75" x14ac:dyDescent="0.2"/>
    <row r="338" s="44" customFormat="1" ht="12.75" x14ac:dyDescent="0.2"/>
    <row r="339" s="44" customFormat="1" ht="12.75" x14ac:dyDescent="0.2"/>
    <row r="340" s="44" customFormat="1" ht="12.75" x14ac:dyDescent="0.2"/>
    <row r="341" s="44" customFormat="1" ht="12.75" x14ac:dyDescent="0.2"/>
    <row r="342" s="44" customFormat="1" ht="12.75" x14ac:dyDescent="0.2"/>
    <row r="343" s="44" customFormat="1" ht="12.75" x14ac:dyDescent="0.2"/>
    <row r="344" s="44" customFormat="1" ht="12.75" x14ac:dyDescent="0.2"/>
    <row r="345" s="44" customFormat="1" ht="12.75" x14ac:dyDescent="0.2"/>
    <row r="346" s="44" customFormat="1" ht="12.75" x14ac:dyDescent="0.2"/>
    <row r="347" s="44" customFormat="1" ht="12.75" x14ac:dyDescent="0.2"/>
    <row r="348" s="44" customFormat="1" ht="12.75" x14ac:dyDescent="0.2"/>
    <row r="349" s="44" customFormat="1" ht="12.75" x14ac:dyDescent="0.2"/>
    <row r="350" s="44" customFormat="1" ht="12.75" x14ac:dyDescent="0.2"/>
    <row r="351" s="44" customFormat="1" ht="12.75" x14ac:dyDescent="0.2"/>
    <row r="352" s="44" customFormat="1" ht="12.75" x14ac:dyDescent="0.2"/>
    <row r="353" s="44" customFormat="1" ht="12.75" x14ac:dyDescent="0.2"/>
    <row r="354" s="44" customFormat="1" ht="12.75" x14ac:dyDescent="0.2"/>
    <row r="355" s="44" customFormat="1" ht="12.75" x14ac:dyDescent="0.2"/>
    <row r="356" s="44" customFormat="1" ht="12.75" x14ac:dyDescent="0.2"/>
    <row r="357" s="44" customFormat="1" ht="12.75" x14ac:dyDescent="0.2"/>
    <row r="358" s="44" customFormat="1" ht="12.75" x14ac:dyDescent="0.2"/>
    <row r="359" s="44" customFormat="1" ht="12.75" x14ac:dyDescent="0.2"/>
    <row r="360" s="44" customFormat="1" ht="12.75" x14ac:dyDescent="0.2"/>
    <row r="361" s="44" customFormat="1" ht="12.75" x14ac:dyDescent="0.2"/>
    <row r="362" s="44" customFormat="1" ht="12.75" x14ac:dyDescent="0.2"/>
    <row r="363" s="44" customFormat="1" ht="12.75" x14ac:dyDescent="0.2"/>
    <row r="364" s="44" customFormat="1" ht="12.75" x14ac:dyDescent="0.2"/>
    <row r="365" s="44" customFormat="1" ht="12.75" x14ac:dyDescent="0.2"/>
    <row r="366" s="44" customFormat="1" ht="12.75" x14ac:dyDescent="0.2"/>
    <row r="367" s="44" customFormat="1" ht="12.75" x14ac:dyDescent="0.2"/>
    <row r="368" s="44" customFormat="1" ht="12.75" x14ac:dyDescent="0.2"/>
    <row r="369" s="44" customFormat="1" ht="12.75" x14ac:dyDescent="0.2"/>
    <row r="370" s="44" customFormat="1" ht="12.75" x14ac:dyDescent="0.2"/>
    <row r="371" s="44" customFormat="1" ht="12.75" x14ac:dyDescent="0.2"/>
    <row r="372" s="44" customFormat="1" ht="12.75" x14ac:dyDescent="0.2"/>
    <row r="373" s="44" customFormat="1" ht="12.75" x14ac:dyDescent="0.2"/>
    <row r="374" s="44" customFormat="1" ht="12.75" x14ac:dyDescent="0.2"/>
    <row r="375" s="44" customFormat="1" ht="12.75" x14ac:dyDescent="0.2"/>
    <row r="376" s="44" customFormat="1" ht="12.75" x14ac:dyDescent="0.2"/>
    <row r="377" s="44" customFormat="1" ht="12.75" x14ac:dyDescent="0.2"/>
    <row r="378" s="44" customFormat="1" ht="12.75" x14ac:dyDescent="0.2"/>
    <row r="379" s="44" customFormat="1" ht="12.75" x14ac:dyDescent="0.2"/>
    <row r="380" s="44" customFormat="1" ht="12.75" x14ac:dyDescent="0.2"/>
    <row r="381" s="44" customFormat="1" ht="12.75" x14ac:dyDescent="0.2"/>
    <row r="382" s="44" customFormat="1" ht="12.75" x14ac:dyDescent="0.2"/>
    <row r="383" s="44" customFormat="1" ht="12.75" x14ac:dyDescent="0.2"/>
    <row r="384" s="44" customFormat="1" ht="12.75" x14ac:dyDescent="0.2"/>
    <row r="385" s="44" customFormat="1" ht="12.75" x14ac:dyDescent="0.2"/>
    <row r="386" s="44" customFormat="1" ht="12.75" x14ac:dyDescent="0.2"/>
    <row r="387" s="44" customFormat="1" ht="12.75" x14ac:dyDescent="0.2"/>
    <row r="388" s="44" customFormat="1" ht="12.75" x14ac:dyDescent="0.2"/>
    <row r="389" s="44" customFormat="1" ht="12.75" x14ac:dyDescent="0.2"/>
    <row r="390" s="44" customFormat="1" ht="12.75" x14ac:dyDescent="0.2"/>
    <row r="391" s="44" customFormat="1" ht="12.75" x14ac:dyDescent="0.2"/>
    <row r="392" s="44" customFormat="1" ht="12.75" x14ac:dyDescent="0.2"/>
    <row r="393" s="44" customFormat="1" ht="12.75" x14ac:dyDescent="0.2"/>
    <row r="394" s="44" customFormat="1" ht="12.75" x14ac:dyDescent="0.2"/>
    <row r="395" s="44" customFormat="1" ht="12.75" x14ac:dyDescent="0.2"/>
    <row r="396" s="44" customFormat="1" ht="12.75" x14ac:dyDescent="0.2"/>
    <row r="397" s="44" customFormat="1" ht="12.75" x14ac:dyDescent="0.2"/>
    <row r="398" s="44" customFormat="1" ht="12.75" x14ac:dyDescent="0.2"/>
    <row r="399" s="44" customFormat="1" ht="12.75" x14ac:dyDescent="0.2"/>
    <row r="400" s="44" customFormat="1" ht="12.75" x14ac:dyDescent="0.2"/>
    <row r="401" s="44" customFormat="1" ht="12.75" x14ac:dyDescent="0.2"/>
    <row r="402" s="44" customFormat="1" ht="12.75" x14ac:dyDescent="0.2"/>
    <row r="403" s="44" customFormat="1" ht="12.75" x14ac:dyDescent="0.2"/>
    <row r="404" s="44" customFormat="1" ht="12.75" x14ac:dyDescent="0.2"/>
    <row r="405" s="44" customFormat="1" ht="12.75" x14ac:dyDescent="0.2"/>
    <row r="406" s="44" customFormat="1" ht="12.75" x14ac:dyDescent="0.2"/>
    <row r="407" s="44" customFormat="1" ht="12.75" x14ac:dyDescent="0.2"/>
  </sheetData>
  <mergeCells count="8">
    <mergeCell ref="B1:G1"/>
    <mergeCell ref="B2:G2"/>
    <mergeCell ref="B181:G181"/>
    <mergeCell ref="B182:G182"/>
    <mergeCell ref="B61:G61"/>
    <mergeCell ref="B62:G62"/>
    <mergeCell ref="B121:G121"/>
    <mergeCell ref="B122:G122"/>
  </mergeCells>
  <pageMargins left="0.25" right="0.25" top="0.25" bottom="0.25" header="0.5" footer="0.5"/>
  <pageSetup fitToHeight="4" orientation="portrait" r:id="rId1"/>
  <headerFooter>
    <oddFooter>&amp;L&amp;8&amp;D&amp;C&amp;8(c) Applied Geographic Solutions, Inc. 2015
www.appliedgeographic.com&amp;R&amp;8Page &amp;P</oddFooter>
  </headerFooter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0"/>
  <sheetViews>
    <sheetView topLeftCell="A52" zoomScale="85" zoomScaleNormal="85" workbookViewId="0">
      <selection activeCell="B7" sqref="B7"/>
    </sheetView>
  </sheetViews>
  <sheetFormatPr defaultRowHeight="15" x14ac:dyDescent="0.25"/>
  <cols>
    <col min="1" max="1" width="20.7109375" style="7" customWidth="1"/>
    <col min="2" max="2" width="11.7109375" style="7" customWidth="1"/>
    <col min="3" max="3" width="8.7109375" style="7" customWidth="1"/>
    <col min="4" max="4" width="7.7109375" style="7" customWidth="1"/>
    <col min="5" max="5" width="2.7109375" style="7" customWidth="1"/>
    <col min="6" max="6" width="20.7109375" style="7" customWidth="1"/>
    <col min="7" max="7" width="11.7109375" style="7" customWidth="1"/>
    <col min="8" max="8" width="8.7109375" style="7" customWidth="1"/>
    <col min="9" max="9" width="7.7109375" style="7" customWidth="1"/>
    <col min="10" max="16384" width="9.140625" style="7"/>
  </cols>
  <sheetData>
    <row r="1" spans="1:9" ht="18.75" x14ac:dyDescent="0.3">
      <c r="B1" s="78">
        <v>70</v>
      </c>
      <c r="C1" s="78"/>
      <c r="D1" s="78"/>
      <c r="E1" s="78"/>
      <c r="F1" s="78"/>
      <c r="G1" s="78"/>
      <c r="H1" s="8"/>
      <c r="I1" s="8"/>
    </row>
    <row r="2" spans="1:9" ht="18.75" x14ac:dyDescent="0.3">
      <c r="A2" s="9"/>
      <c r="B2" s="79" t="s">
        <v>254</v>
      </c>
      <c r="C2" s="79"/>
      <c r="D2" s="79"/>
      <c r="E2" s="79"/>
      <c r="F2" s="79"/>
      <c r="G2" s="79"/>
      <c r="H2" s="11"/>
      <c r="I2" s="11"/>
    </row>
    <row r="3" spans="1:9" s="6" customFormat="1" ht="6.75" customHeight="1" x14ac:dyDescent="0.2"/>
    <row r="4" spans="1:9" s="6" customFormat="1" ht="13.5" thickBot="1" x14ac:dyDescent="0.25">
      <c r="C4" s="13" t="s">
        <v>464</v>
      </c>
      <c r="D4" s="13" t="s">
        <v>465</v>
      </c>
      <c r="H4" s="13" t="s">
        <v>464</v>
      </c>
      <c r="I4" s="13" t="s">
        <v>465</v>
      </c>
    </row>
    <row r="5" spans="1:9" s="6" customFormat="1" ht="13.5" thickTop="1" x14ac:dyDescent="0.2">
      <c r="A5" s="28" t="s">
        <v>513</v>
      </c>
      <c r="B5" s="31">
        <f>INDEX('Raw Data'!$C$2:$LO$71,$B$1,4)</f>
        <v>322736220</v>
      </c>
      <c r="C5" s="32">
        <f>B5/INDEX('Raw Data'!$C$2:$LO$71,70,4)</f>
        <v>1</v>
      </c>
      <c r="D5" s="32"/>
      <c r="E5" s="16"/>
      <c r="F5" s="34" t="s">
        <v>551</v>
      </c>
      <c r="G5" s="29">
        <f>INDEX('Raw Data'!$C$2:$LO$71,$B$1,5)</f>
        <v>335779240</v>
      </c>
      <c r="H5" s="30">
        <f>G5/INDEX('Raw Data'!$C$2:$LO$71,70,5)</f>
        <v>1</v>
      </c>
      <c r="I5" s="23"/>
    </row>
    <row r="6" spans="1:9" s="6" customFormat="1" ht="12.75" x14ac:dyDescent="0.2">
      <c r="A6" s="58" t="s">
        <v>792</v>
      </c>
      <c r="B6" s="20">
        <f>INDEX('Raw Data'!$C$2:$LQ$71,$B$1,326)</f>
        <v>3531905.5</v>
      </c>
      <c r="C6" s="57"/>
      <c r="D6" s="57"/>
      <c r="E6" s="16"/>
      <c r="F6" s="16"/>
      <c r="G6" s="20"/>
      <c r="H6" s="21"/>
      <c r="I6" s="14"/>
    </row>
    <row r="7" spans="1:9" s="6" customFormat="1" ht="12.75" x14ac:dyDescent="0.2">
      <c r="A7" s="58" t="s">
        <v>794</v>
      </c>
      <c r="B7" s="26">
        <f>INDEX('Raw Data'!$C$2:$LQ$71,$B$1,327)</f>
        <v>91.377365560884911</v>
      </c>
      <c r="C7" s="57"/>
      <c r="D7" s="57"/>
      <c r="E7" s="16"/>
      <c r="F7" s="16"/>
      <c r="G7" s="20"/>
      <c r="H7" s="21"/>
      <c r="I7" s="14"/>
    </row>
    <row r="8" spans="1:9" s="6" customFormat="1" ht="13.5" thickBot="1" x14ac:dyDescent="0.25"/>
    <row r="9" spans="1:9" s="6" customFormat="1" ht="13.5" thickTop="1" x14ac:dyDescent="0.2">
      <c r="A9" s="22" t="s">
        <v>621</v>
      </c>
      <c r="B9" s="23"/>
      <c r="C9" s="23"/>
      <c r="D9" s="23"/>
      <c r="F9" s="22" t="s">
        <v>627</v>
      </c>
      <c r="G9" s="23"/>
      <c r="H9" s="23"/>
      <c r="I9" s="23"/>
    </row>
    <row r="10" spans="1:9" s="6" customFormat="1" ht="12.75" x14ac:dyDescent="0.2">
      <c r="A10" s="24" t="s">
        <v>474</v>
      </c>
      <c r="B10" s="20">
        <f>INDEX('Raw Data'!$C$2:$LO$71,$B$1,18)</f>
        <v>260804518</v>
      </c>
      <c r="C10" s="21">
        <f>B10/B$5</f>
        <v>0.80810427165565735</v>
      </c>
      <c r="D10" s="21"/>
      <c r="F10" s="24" t="s">
        <v>491</v>
      </c>
      <c r="G10" s="20">
        <f>INDEX('Raw Data'!$C$2:$LO$71,$B$1,44)</f>
        <v>198653178</v>
      </c>
      <c r="H10" s="21">
        <f t="shared" ref="H10:H17" si="0">G10/B$5</f>
        <v>0.61552799372812883</v>
      </c>
      <c r="I10" s="14"/>
    </row>
    <row r="11" spans="1:9" s="6" customFormat="1" ht="12.75" x14ac:dyDescent="0.2">
      <c r="A11" s="24" t="s">
        <v>475</v>
      </c>
      <c r="B11" s="20">
        <f>INDEX('Raw Data'!$C$2:$LO$71,$B$1,19)</f>
        <v>53892689</v>
      </c>
      <c r="C11" s="21">
        <f t="shared" ref="C11:C12" si="1">B11/B$5</f>
        <v>0.16698680117155737</v>
      </c>
      <c r="D11" s="21"/>
      <c r="F11" s="24" t="s">
        <v>492</v>
      </c>
      <c r="G11" s="20">
        <f>INDEX('Raw Data'!$C$2:$LO$71,$B$1,45)</f>
        <v>41134991</v>
      </c>
      <c r="H11" s="21">
        <f t="shared" si="0"/>
        <v>0.12745700188221823</v>
      </c>
      <c r="I11" s="14"/>
    </row>
    <row r="12" spans="1:9" s="6" customFormat="1" ht="12.75" x14ac:dyDescent="0.2">
      <c r="A12" s="24" t="s">
        <v>476</v>
      </c>
      <c r="B12" s="20">
        <f>INDEX('Raw Data'!$C$2:$LO$71,$B$1,20)</f>
        <v>8039013</v>
      </c>
      <c r="C12" s="21">
        <f t="shared" si="1"/>
        <v>2.4908927172785256E-2</v>
      </c>
      <c r="D12" s="21"/>
      <c r="F12" s="24" t="s">
        <v>494</v>
      </c>
      <c r="G12" s="20">
        <f>INDEX('Raw Data'!$C$2:$LO$71,$B$1,46)</f>
        <v>1720239</v>
      </c>
      <c r="H12" s="21">
        <f t="shared" si="0"/>
        <v>5.3301702548291608E-3</v>
      </c>
      <c r="I12" s="14"/>
    </row>
    <row r="13" spans="1:9" s="6" customFormat="1" ht="12.75" x14ac:dyDescent="0.2">
      <c r="A13" s="24" t="s">
        <v>477</v>
      </c>
      <c r="B13" s="20">
        <f>INDEX('Raw Data'!$C$2:$LO$71,$B$1,21)</f>
        <v>2623756</v>
      </c>
      <c r="C13" s="21">
        <f>B13/B$5</f>
        <v>8.1297227810377161E-3</v>
      </c>
      <c r="D13" s="14"/>
      <c r="F13" s="24" t="s">
        <v>493</v>
      </c>
      <c r="G13" s="20">
        <f>INDEX('Raw Data'!$C$2:$LO$71,$B$1,47)</f>
        <v>17539352</v>
      </c>
      <c r="H13" s="21">
        <f t="shared" si="0"/>
        <v>5.4345781207947468E-2</v>
      </c>
      <c r="I13" s="14"/>
    </row>
    <row r="14" spans="1:9" s="6" customFormat="1" ht="12.75" x14ac:dyDescent="0.2">
      <c r="A14" s="24" t="s">
        <v>478</v>
      </c>
      <c r="B14" s="20">
        <f>INDEX('Raw Data'!$C$2:$LO$71,$B$1,22)</f>
        <v>286533</v>
      </c>
      <c r="C14" s="21">
        <f>B14/B$5</f>
        <v>8.8782411840852566E-4</v>
      </c>
      <c r="D14" s="21"/>
      <c r="F14" s="24" t="s">
        <v>495</v>
      </c>
      <c r="G14" s="20">
        <f>INDEX('Raw Data'!$C$2:$LO$71,$B$1,48)</f>
        <v>435741</v>
      </c>
      <c r="H14" s="21">
        <f t="shared" si="0"/>
        <v>1.3501459489114671E-3</v>
      </c>
      <c r="I14" s="14"/>
    </row>
    <row r="15" spans="1:9" s="6" customFormat="1" ht="13.5" thickBot="1" x14ac:dyDescent="0.25">
      <c r="D15" s="10"/>
      <c r="F15" s="24" t="s">
        <v>496</v>
      </c>
      <c r="G15" s="20">
        <f>INDEX('Raw Data'!$C$2:$LO$71,$B$1,49)</f>
        <v>621127</v>
      </c>
      <c r="H15" s="21">
        <f t="shared" si="0"/>
        <v>1.924565516693478E-3</v>
      </c>
      <c r="I15" s="14"/>
    </row>
    <row r="16" spans="1:9" s="6" customFormat="1" ht="13.5" thickTop="1" x14ac:dyDescent="0.2">
      <c r="A16" s="22" t="s">
        <v>622</v>
      </c>
      <c r="B16" s="23"/>
      <c r="C16" s="23"/>
      <c r="D16" s="23"/>
      <c r="F16" s="24" t="s">
        <v>497</v>
      </c>
      <c r="G16" s="20">
        <f>INDEX('Raw Data'!$C$2:$LO$71,$B$1,50)</f>
        <v>6932170</v>
      </c>
      <c r="H16" s="21">
        <f t="shared" si="0"/>
        <v>2.1479367887496482E-2</v>
      </c>
      <c r="I16" s="14"/>
    </row>
    <row r="17" spans="1:9" s="6" customFormat="1" ht="12.75" x14ac:dyDescent="0.2">
      <c r="A17" s="24" t="s">
        <v>479</v>
      </c>
      <c r="B17" s="20">
        <f>INDEX('Raw Data'!$C$2:$LO$71,$B$1,24)+INDEX('Raw Data'!$C$2:$LO$71,$B$1,25)</f>
        <v>40355654</v>
      </c>
      <c r="C17" s="21">
        <f t="shared" ref="C17:C25" si="2">B17/B$5</f>
        <v>0.12504222178719204</v>
      </c>
      <c r="D17" s="14"/>
      <c r="F17" s="24" t="s">
        <v>498</v>
      </c>
      <c r="G17" s="20">
        <f>INDEX('Raw Data'!$C$2:$LO$71,$B$1,51)</f>
        <v>55718077</v>
      </c>
      <c r="H17" s="21">
        <f t="shared" si="0"/>
        <v>0.17264277619661034</v>
      </c>
      <c r="I17" s="14"/>
    </row>
    <row r="18" spans="1:9" s="6" customFormat="1" ht="13.5" thickBot="1" x14ac:dyDescent="0.25">
      <c r="A18" s="25" t="s">
        <v>480</v>
      </c>
      <c r="B18" s="20">
        <f>INDEX('Raw Data'!$C$2:$LO$71,$B$1,26)+INDEX('Raw Data'!$C$2:$LO$71,$B$1,27)</f>
        <v>42301444</v>
      </c>
      <c r="C18" s="21">
        <f t="shared" si="2"/>
        <v>0.13107126308909486</v>
      </c>
      <c r="D18" s="21"/>
    </row>
    <row r="19" spans="1:9" s="6" customFormat="1" ht="13.5" thickTop="1" x14ac:dyDescent="0.2">
      <c r="A19" s="24" t="s">
        <v>481</v>
      </c>
      <c r="B19" s="20">
        <f>INDEX('Raw Data'!$C$2:$LO$71,$B$1,28)+INDEX('Raw Data'!$C$2:$LO$71,$B$1,29)</f>
        <v>44756973</v>
      </c>
      <c r="C19" s="21">
        <f t="shared" si="2"/>
        <v>0.13867973356073887</v>
      </c>
      <c r="D19" s="21"/>
      <c r="F19" s="22" t="s">
        <v>626</v>
      </c>
      <c r="G19" s="23"/>
      <c r="H19" s="23"/>
      <c r="I19" s="23"/>
    </row>
    <row r="20" spans="1:9" s="6" customFormat="1" ht="12.75" x14ac:dyDescent="0.2">
      <c r="A20" s="24" t="s">
        <v>482</v>
      </c>
      <c r="B20" s="20">
        <f>INDEX('Raw Data'!$C$2:$LO$71,$B$1,30)+INDEX('Raw Data'!$C$2:$LO$71,$B$1,31)</f>
        <v>42244378</v>
      </c>
      <c r="C20" s="21">
        <f t="shared" si="2"/>
        <v>0.1308944437658717</v>
      </c>
      <c r="D20" s="21"/>
      <c r="F20" s="24" t="s">
        <v>499</v>
      </c>
      <c r="G20" s="20">
        <f>INDEX('Raw Data'!$C$2:$LO$71,$B$1,52)</f>
        <v>261677818</v>
      </c>
      <c r="H20" s="14"/>
      <c r="I20" s="14"/>
    </row>
    <row r="21" spans="1:9" s="6" customFormat="1" ht="12.75" x14ac:dyDescent="0.2">
      <c r="A21" s="24" t="s">
        <v>483</v>
      </c>
      <c r="B21" s="20">
        <f>INDEX('Raw Data'!$C$2:$LO$71,$B$1,32)+INDEX('Raw Data'!$C$2:$LO$71,$B$1,33)</f>
        <v>41181792</v>
      </c>
      <c r="C21" s="21">
        <f t="shared" si="2"/>
        <v>0.12760201504498009</v>
      </c>
      <c r="D21" s="21"/>
      <c r="F21" s="24" t="s">
        <v>500</v>
      </c>
      <c r="G21" s="20">
        <f>INDEX('Raw Data'!$C$2:$LO$71,$B$1,53)</f>
        <v>84389886</v>
      </c>
      <c r="H21" s="21">
        <f>G21/G$20</f>
        <v>0.3224953748276822</v>
      </c>
      <c r="I21" s="14"/>
    </row>
    <row r="22" spans="1:9" s="6" customFormat="1" ht="12.75" x14ac:dyDescent="0.2">
      <c r="A22" s="24" t="s">
        <v>484</v>
      </c>
      <c r="B22" s="20">
        <f>INDEX('Raw Data'!$C$2:$LO$71,$B$1,34)+INDEX('Raw Data'!$C$2:$LO$71,$B$1,35)</f>
        <v>43555103</v>
      </c>
      <c r="C22" s="21">
        <f t="shared" si="2"/>
        <v>0.13495573257938015</v>
      </c>
      <c r="D22" s="21"/>
      <c r="F22" s="24" t="s">
        <v>501</v>
      </c>
      <c r="G22" s="20">
        <f>INDEX('Raw Data'!$C$2:$LO$71,$B$1,54)</f>
        <v>120359224</v>
      </c>
      <c r="H22" s="21">
        <f>G22/G$20</f>
        <v>0.45995195511757131</v>
      </c>
      <c r="I22" s="14"/>
    </row>
    <row r="23" spans="1:9" s="6" customFormat="1" ht="12.75" x14ac:dyDescent="0.2">
      <c r="A23" s="24" t="s">
        <v>485</v>
      </c>
      <c r="B23" s="20">
        <f>INDEX('Raw Data'!$C$2:$LO$71,$B$1,36)+INDEX('Raw Data'!$C$2:$LO$71,$B$1,37)</f>
        <v>35176452</v>
      </c>
      <c r="C23" s="21">
        <f t="shared" si="2"/>
        <v>0.108994435145829</v>
      </c>
      <c r="D23" s="21"/>
      <c r="F23" s="24" t="s">
        <v>502</v>
      </c>
      <c r="G23" s="20">
        <f>INDEX('Raw Data'!$C$2:$LO$71,$B$1,55)</f>
        <v>12765733</v>
      </c>
      <c r="H23" s="21">
        <f>G23/G$20</f>
        <v>4.8784161751150038E-2</v>
      </c>
      <c r="I23" s="14"/>
    </row>
    <row r="24" spans="1:9" s="6" customFormat="1" ht="12.75" x14ac:dyDescent="0.2">
      <c r="A24" s="24" t="s">
        <v>486</v>
      </c>
      <c r="B24" s="20">
        <f>INDEX('Raw Data'!$C$2:$LO$71,$B$1,38)+INDEX('Raw Data'!$C$2:$LO$71,$B$1,39)</f>
        <v>20498030</v>
      </c>
      <c r="C24" s="21">
        <f t="shared" si="2"/>
        <v>6.3513261697122195E-2</v>
      </c>
      <c r="D24" s="21"/>
      <c r="F24" s="24" t="s">
        <v>503</v>
      </c>
      <c r="G24" s="20">
        <f>INDEX('Raw Data'!$C$2:$LO$71,$B$1,56)</f>
        <v>15638883</v>
      </c>
      <c r="H24" s="21">
        <f>G24/G$20</f>
        <v>5.976388491591595E-2</v>
      </c>
      <c r="I24" s="14"/>
    </row>
    <row r="25" spans="1:9" s="6" customFormat="1" ht="12.75" x14ac:dyDescent="0.2">
      <c r="A25" s="24" t="s">
        <v>487</v>
      </c>
      <c r="B25" s="20">
        <f>INDEX('Raw Data'!$C$2:$LO$71,$B$1,40)+INDEX('Raw Data'!$C$2:$LO$71,$B$1,41)</f>
        <v>12666394</v>
      </c>
      <c r="C25" s="21">
        <f t="shared" si="2"/>
        <v>3.9246893329791123E-2</v>
      </c>
      <c r="D25" s="21"/>
      <c r="F25" s="24" t="s">
        <v>504</v>
      </c>
      <c r="G25" s="20">
        <f>INDEX('Raw Data'!$C$2:$LO$71,$B$1,57)</f>
        <v>28524092</v>
      </c>
      <c r="H25" s="21">
        <f>G25/G$20</f>
        <v>0.10900462338768049</v>
      </c>
      <c r="I25" s="14"/>
    </row>
    <row r="26" spans="1:9" s="6" customFormat="1" ht="13.5" thickBot="1" x14ac:dyDescent="0.25">
      <c r="A26" s="24" t="s">
        <v>488</v>
      </c>
      <c r="B26" s="26">
        <f>INDEX('Raw Data'!$C$2:$LO$71,$B$1,23)</f>
        <v>36.97</v>
      </c>
      <c r="C26" s="14"/>
      <c r="D26" s="21"/>
    </row>
    <row r="27" spans="1:9" s="6" customFormat="1" ht="14.25" thickTop="1" thickBot="1" x14ac:dyDescent="0.25">
      <c r="F27" s="22" t="s">
        <v>625</v>
      </c>
      <c r="G27" s="23"/>
      <c r="H27" s="23"/>
      <c r="I27" s="23"/>
    </row>
    <row r="28" spans="1:9" s="6" customFormat="1" ht="13.5" thickTop="1" x14ac:dyDescent="0.2">
      <c r="A28" s="22" t="s">
        <v>623</v>
      </c>
      <c r="B28" s="23"/>
      <c r="C28" s="23"/>
      <c r="D28" s="23"/>
      <c r="F28" s="24" t="s">
        <v>505</v>
      </c>
      <c r="G28" s="20">
        <f>INDEX('Raw Data'!$C$2:$LO$71,$B$1,58)</f>
        <v>217451464</v>
      </c>
      <c r="H28" s="14"/>
      <c r="I28" s="14"/>
    </row>
    <row r="29" spans="1:9" s="6" customFormat="1" ht="12.75" x14ac:dyDescent="0.2">
      <c r="A29" s="24" t="s">
        <v>489</v>
      </c>
      <c r="B29" s="20">
        <f>INDEX('Raw Data'!$C$2:$LO$71,$B$1,42)</f>
        <v>158824726</v>
      </c>
      <c r="C29" s="21">
        <f>B29/B$5</f>
        <v>0.49211931031478279</v>
      </c>
      <c r="D29" s="14"/>
      <c r="F29" s="24" t="s">
        <v>506</v>
      </c>
      <c r="G29" s="20">
        <f>INDEX('Raw Data'!$C$2:$LO$71,$B$1,59)</f>
        <v>12266415</v>
      </c>
      <c r="H29" s="21">
        <f t="shared" ref="H29:H35" si="3">G29/G$28</f>
        <v>5.6409898440600979E-2</v>
      </c>
      <c r="I29" s="21"/>
    </row>
    <row r="30" spans="1:9" s="6" customFormat="1" ht="12.75" x14ac:dyDescent="0.2">
      <c r="A30" s="24" t="s">
        <v>490</v>
      </c>
      <c r="B30" s="20">
        <f>INDEX('Raw Data'!$C$2:$LO$71,$B$1,43)</f>
        <v>163911494</v>
      </c>
      <c r="C30" s="21">
        <f>B30/B$5</f>
        <v>0.50788068968521727</v>
      </c>
      <c r="D30" s="21"/>
      <c r="F30" s="24" t="s">
        <v>507</v>
      </c>
      <c r="G30" s="20">
        <f>INDEX('Raw Data'!$C$2:$LO$71,$B$1,60)</f>
        <v>16197925</v>
      </c>
      <c r="H30" s="21">
        <f t="shared" si="3"/>
        <v>7.4489841098517501E-2</v>
      </c>
      <c r="I30" s="21"/>
    </row>
    <row r="31" spans="1:9" s="6" customFormat="1" ht="13.5" thickBot="1" x14ac:dyDescent="0.25">
      <c r="D31" s="10"/>
      <c r="F31" s="24" t="s">
        <v>508</v>
      </c>
      <c r="G31" s="20">
        <f>INDEX('Raw Data'!$C$2:$LO$71,$B$1,61)</f>
        <v>60259234</v>
      </c>
      <c r="H31" s="21">
        <f t="shared" si="3"/>
        <v>0.27711578892842037</v>
      </c>
      <c r="I31" s="21"/>
    </row>
    <row r="32" spans="1:9" s="6" customFormat="1" ht="13.5" thickTop="1" x14ac:dyDescent="0.2">
      <c r="A32" s="22" t="s">
        <v>624</v>
      </c>
      <c r="B32" s="23"/>
      <c r="C32" s="23"/>
      <c r="D32" s="23"/>
      <c r="F32" s="24" t="s">
        <v>509</v>
      </c>
      <c r="G32" s="20">
        <f>INDEX('Raw Data'!$C$2:$LO$71,$B$1,62)</f>
        <v>45575324</v>
      </c>
      <c r="H32" s="21">
        <f t="shared" si="3"/>
        <v>0.20958849005495775</v>
      </c>
      <c r="I32" s="21"/>
    </row>
    <row r="33" spans="1:9" s="6" customFormat="1" ht="12.75" x14ac:dyDescent="0.2">
      <c r="A33" s="27" t="s">
        <v>548</v>
      </c>
      <c r="B33" s="20">
        <f>INDEX('Raw Data'!$C$2:$LO$71,$B$1,1)</f>
        <v>248584652</v>
      </c>
      <c r="C33" s="14"/>
      <c r="D33" s="14"/>
      <c r="F33" s="24" t="s">
        <v>510</v>
      </c>
      <c r="G33" s="20">
        <f>INDEX('Raw Data'!$C$2:$LO$71,$B$1,63)</f>
        <v>17733674</v>
      </c>
      <c r="H33" s="21">
        <f t="shared" si="3"/>
        <v>8.1552332064317584E-2</v>
      </c>
      <c r="I33" s="21"/>
    </row>
    <row r="34" spans="1:9" s="6" customFormat="1" ht="12.75" x14ac:dyDescent="0.2">
      <c r="A34" s="27" t="s">
        <v>549</v>
      </c>
      <c r="B34" s="20">
        <f>INDEX('Raw Data'!$C$2:$LO$71,$B$1,2)</f>
        <v>281399034</v>
      </c>
      <c r="C34" s="14"/>
      <c r="D34" s="21"/>
      <c r="F34" s="24" t="s">
        <v>511</v>
      </c>
      <c r="G34" s="20">
        <f>INDEX('Raw Data'!$C$2:$LO$71,$B$1,64)</f>
        <v>40583732</v>
      </c>
      <c r="H34" s="21">
        <f t="shared" si="3"/>
        <v>0.18663351928502078</v>
      </c>
      <c r="I34" s="21"/>
    </row>
    <row r="35" spans="1:9" s="6" customFormat="1" ht="12.75" x14ac:dyDescent="0.2">
      <c r="A35" s="27" t="s">
        <v>550</v>
      </c>
      <c r="B35" s="20">
        <f>INDEX('Raw Data'!$C$2:$LO$71,$B$1,3)</f>
        <v>308745538</v>
      </c>
      <c r="C35" s="14"/>
      <c r="D35" s="21"/>
      <c r="F35" s="24" t="s">
        <v>512</v>
      </c>
      <c r="G35" s="20">
        <f>INDEX('Raw Data'!$C$2:$LO$71,$B$1,65)</f>
        <v>24835160</v>
      </c>
      <c r="H35" s="21">
        <f t="shared" si="3"/>
        <v>0.11421013012816505</v>
      </c>
      <c r="I35" s="21"/>
    </row>
    <row r="36" spans="1:9" s="6" customFormat="1" ht="13.5" thickBot="1" x14ac:dyDescent="0.25">
      <c r="D36" s="10"/>
      <c r="E36" s="15"/>
      <c r="F36" s="14"/>
    </row>
    <row r="37" spans="1:9" s="6" customFormat="1" ht="13.5" thickTop="1" x14ac:dyDescent="0.2">
      <c r="A37" s="28" t="s">
        <v>514</v>
      </c>
      <c r="B37" s="29">
        <f>INDEX('Raw Data'!$C$2:$LO$71,$B$1,66)</f>
        <v>257749673</v>
      </c>
      <c r="C37" s="23"/>
      <c r="D37" s="30"/>
      <c r="E37" s="14"/>
      <c r="F37" s="22" t="s">
        <v>629</v>
      </c>
      <c r="G37" s="23"/>
      <c r="H37" s="23"/>
      <c r="I37" s="23"/>
    </row>
    <row r="38" spans="1:9" s="6" customFormat="1" ht="12.75" x14ac:dyDescent="0.2">
      <c r="A38" s="24"/>
      <c r="B38" s="14"/>
      <c r="C38" s="14"/>
      <c r="D38" s="21"/>
      <c r="F38" s="24" t="s">
        <v>520</v>
      </c>
      <c r="G38" s="20">
        <f>INDEX('Raw Data'!$C$2:$LO$71,$B$1,289)</f>
        <v>1936971</v>
      </c>
      <c r="H38" s="21">
        <f t="shared" ref="H38:H57" si="4">G38/SUM(G$38:G$57)</f>
        <v>1.3963548594666019E-2</v>
      </c>
      <c r="I38" s="14"/>
    </row>
    <row r="39" spans="1:9" s="6" customFormat="1" ht="12.75" x14ac:dyDescent="0.2">
      <c r="A39" s="24" t="s">
        <v>515</v>
      </c>
      <c r="B39" s="20">
        <f>INDEX('Raw Data'!$C$2:$LO$71,$B$1,67)</f>
        <v>988108</v>
      </c>
      <c r="C39" s="21">
        <f>B39/B$37</f>
        <v>3.8335955522240373E-3</v>
      </c>
      <c r="D39" s="21"/>
      <c r="F39" s="24" t="s">
        <v>521</v>
      </c>
      <c r="G39" s="20">
        <f>INDEX('Raw Data'!$C$2:$LO$71,$B$1,290)</f>
        <v>703866</v>
      </c>
      <c r="H39" s="21">
        <f t="shared" si="4"/>
        <v>5.0741426150072415E-3</v>
      </c>
      <c r="I39" s="14"/>
    </row>
    <row r="40" spans="1:9" s="6" customFormat="1" ht="12.75" x14ac:dyDescent="0.2">
      <c r="A40" s="24" t="s">
        <v>516</v>
      </c>
      <c r="B40" s="20">
        <f>INDEX('Raw Data'!$C$2:$LO$71,$B$1,68)</f>
        <v>154439532</v>
      </c>
      <c r="C40" s="21">
        <f t="shared" ref="C40:C42" si="5">B40/B$37</f>
        <v>0.59918420148684337</v>
      </c>
      <c r="D40" s="21"/>
      <c r="F40" s="24" t="s">
        <v>522</v>
      </c>
      <c r="G40" s="20">
        <f>INDEX('Raw Data'!$C$2:$LO$71,$B$1,291)</f>
        <v>8667603</v>
      </c>
      <c r="H40" s="21">
        <f t="shared" si="4"/>
        <v>6.2484412874417312E-2</v>
      </c>
      <c r="I40" s="14"/>
    </row>
    <row r="41" spans="1:9" s="6" customFormat="1" ht="12.75" x14ac:dyDescent="0.2">
      <c r="A41" s="24" t="s">
        <v>517</v>
      </c>
      <c r="B41" s="20">
        <f>INDEX('Raw Data'!$C$2:$LO$71,$B$1,69)</f>
        <v>7757300</v>
      </c>
      <c r="C41" s="21">
        <f t="shared" si="5"/>
        <v>3.0096255447043769E-2</v>
      </c>
      <c r="D41" s="21"/>
      <c r="F41" s="24" t="s">
        <v>523</v>
      </c>
      <c r="G41" s="20">
        <f>INDEX('Raw Data'!$C$2:$LO$71,$B$1,292)</f>
        <v>14410987</v>
      </c>
      <c r="H41" s="21">
        <f t="shared" si="4"/>
        <v>0.10388824472415967</v>
      </c>
      <c r="I41" s="14"/>
    </row>
    <row r="42" spans="1:9" s="6" customFormat="1" ht="12.75" x14ac:dyDescent="0.2">
      <c r="A42" s="24" t="s">
        <v>518</v>
      </c>
      <c r="B42" s="20">
        <f>INDEX('Raw Data'!$C$2:$LO$71,$B$1,70)</f>
        <v>94564733</v>
      </c>
      <c r="C42" s="21">
        <f t="shared" si="5"/>
        <v>0.36688594751388881</v>
      </c>
      <c r="D42" s="14"/>
      <c r="F42" s="24" t="s">
        <v>524</v>
      </c>
      <c r="G42" s="20">
        <f>INDEX('Raw Data'!$C$2:$LO$71,$B$1,293)</f>
        <v>3932432</v>
      </c>
      <c r="H42" s="21">
        <f t="shared" si="4"/>
        <v>2.834874932418693E-2</v>
      </c>
      <c r="I42" s="14"/>
    </row>
    <row r="43" spans="1:9" s="6" customFormat="1" ht="12.75" x14ac:dyDescent="0.2">
      <c r="A43" s="24"/>
      <c r="B43" s="14"/>
      <c r="C43" s="14"/>
      <c r="D43" s="14"/>
      <c r="F43" s="24" t="s">
        <v>525</v>
      </c>
      <c r="G43" s="20">
        <f>INDEX('Raw Data'!$C$2:$LO$71,$B$1,294)</f>
        <v>16166329</v>
      </c>
      <c r="H43" s="21">
        <f t="shared" si="4"/>
        <v>0.11654243692283391</v>
      </c>
      <c r="I43" s="14"/>
    </row>
    <row r="44" spans="1:9" s="6" customFormat="1" ht="12.75" x14ac:dyDescent="0.2">
      <c r="A44" s="24" t="s">
        <v>519</v>
      </c>
      <c r="B44" s="14"/>
      <c r="C44" s="21">
        <f>B41/(B41+B40)</f>
        <v>4.7826458164115064E-2</v>
      </c>
      <c r="D44" s="14"/>
      <c r="F44" s="24" t="s">
        <v>526</v>
      </c>
      <c r="G44" s="20">
        <f>INDEX('Raw Data'!$C$2:$LO$71,$B$1,295)</f>
        <v>5617273</v>
      </c>
      <c r="H44" s="21">
        <f t="shared" si="4"/>
        <v>4.0494702556210377E-2</v>
      </c>
      <c r="I44" s="14"/>
    </row>
    <row r="45" spans="1:9" s="6" customFormat="1" ht="13.5" thickBot="1" x14ac:dyDescent="0.25">
      <c r="D45" s="10"/>
      <c r="F45" s="24" t="s">
        <v>527</v>
      </c>
      <c r="G45" s="20">
        <f>INDEX('Raw Data'!$C$2:$LO$71,$B$1,296)</f>
        <v>1211495</v>
      </c>
      <c r="H45" s="21">
        <f t="shared" si="4"/>
        <v>8.7336203302449591E-3</v>
      </c>
      <c r="I45" s="14"/>
    </row>
    <row r="46" spans="1:9" s="6" customFormat="1" ht="13.5" thickTop="1" x14ac:dyDescent="0.2">
      <c r="A46" s="22" t="s">
        <v>628</v>
      </c>
      <c r="B46" s="23"/>
      <c r="C46" s="23"/>
      <c r="D46" s="30"/>
      <c r="F46" s="24" t="s">
        <v>528</v>
      </c>
      <c r="G46" s="20">
        <f>INDEX('Raw Data'!$C$2:$LO$71,$B$1,297)</f>
        <v>3008506</v>
      </c>
      <c r="H46" s="21">
        <f t="shared" si="4"/>
        <v>2.168820272907766E-2</v>
      </c>
      <c r="I46" s="14"/>
    </row>
    <row r="47" spans="1:9" s="6" customFormat="1" ht="12.75" x14ac:dyDescent="0.2">
      <c r="A47" s="24" t="s">
        <v>535</v>
      </c>
      <c r="B47" s="20">
        <f>INDEX('Raw Data'!$C$2:$LO$71,$B$1,309)</f>
        <v>92443140</v>
      </c>
      <c r="C47" s="21">
        <f>B47/SUM(B$47:B$56)</f>
        <v>0.66641900040502111</v>
      </c>
      <c r="D47" s="21"/>
      <c r="F47" s="24" t="s">
        <v>529</v>
      </c>
      <c r="G47" s="20">
        <f>INDEX('Raw Data'!$C$2:$LO$71,$B$1,298)</f>
        <v>6617834</v>
      </c>
      <c r="H47" s="21">
        <f t="shared" si="4"/>
        <v>4.7707707885369995E-2</v>
      </c>
      <c r="I47" s="14"/>
    </row>
    <row r="48" spans="1:9" s="6" customFormat="1" ht="12.75" x14ac:dyDescent="0.2">
      <c r="A48" s="24" t="s">
        <v>546</v>
      </c>
      <c r="B48" s="20">
        <f>INDEX('Raw Data'!$C$2:$LO$71,$B$1,310)</f>
        <v>4947436</v>
      </c>
      <c r="C48" s="21">
        <f t="shared" ref="C48:C56" si="6">B48/SUM(B$47:B$56)</f>
        <v>3.5665873678542459E-2</v>
      </c>
      <c r="D48" s="21"/>
      <c r="F48" s="24" t="s">
        <v>530</v>
      </c>
      <c r="G48" s="20">
        <f>INDEX('Raw Data'!$C$2:$LO$71,$B$1,299)</f>
        <v>2635923</v>
      </c>
      <c r="H48" s="21">
        <f t="shared" si="4"/>
        <v>1.9002266374818125E-2</v>
      </c>
      <c r="I48" s="14"/>
    </row>
    <row r="49" spans="1:9" s="6" customFormat="1" ht="12.75" x14ac:dyDescent="0.2">
      <c r="A49" s="24" t="s">
        <v>536</v>
      </c>
      <c r="B49" s="20">
        <f>INDEX('Raw Data'!$C$2:$LO$71,$B$1,311)</f>
        <v>11188005</v>
      </c>
      <c r="C49" s="21">
        <f t="shared" si="6"/>
        <v>8.0653892853773446E-2</v>
      </c>
      <c r="D49" s="21"/>
      <c r="F49" s="24" t="s">
        <v>544</v>
      </c>
      <c r="G49" s="20">
        <f>INDEX('Raw Data'!$C$2:$LO$71,$B$1,300)</f>
        <v>8832568</v>
      </c>
      <c r="H49" s="21">
        <f t="shared" si="4"/>
        <v>6.3673639142605667E-2</v>
      </c>
      <c r="I49" s="14"/>
    </row>
    <row r="50" spans="1:9" s="6" customFormat="1" ht="12.75" x14ac:dyDescent="0.2">
      <c r="A50" s="24" t="s">
        <v>537</v>
      </c>
      <c r="B50" s="20">
        <f>INDEX('Raw Data'!$C$2:$LO$71,$B$1,312)</f>
        <v>10842944</v>
      </c>
      <c r="C50" s="21">
        <f t="shared" si="6"/>
        <v>7.816636152696263E-2</v>
      </c>
      <c r="D50" s="14"/>
      <c r="F50" s="24" t="s">
        <v>531</v>
      </c>
      <c r="G50" s="20">
        <f>INDEX('Raw Data'!$C$2:$LO$71,$B$1,301)</f>
        <v>101237</v>
      </c>
      <c r="H50" s="21">
        <f t="shared" si="4"/>
        <v>7.2981359508129126E-4</v>
      </c>
      <c r="I50" s="14"/>
    </row>
    <row r="51" spans="1:9" s="6" customFormat="1" ht="12.75" x14ac:dyDescent="0.2">
      <c r="A51" s="24" t="s">
        <v>538</v>
      </c>
      <c r="B51" s="20">
        <f>INDEX('Raw Data'!$C$2:$LO$71,$B$1,313)</f>
        <v>6430283</v>
      </c>
      <c r="C51" s="21">
        <f t="shared" si="6"/>
        <v>4.6355660021732276E-2</v>
      </c>
      <c r="D51" s="14"/>
      <c r="F51" s="24" t="s">
        <v>541</v>
      </c>
      <c r="G51" s="20">
        <f>INDEX('Raw Data'!$C$2:$LO$71,$B$1,302)</f>
        <v>5741445</v>
      </c>
      <c r="H51" s="21">
        <f t="shared" si="4"/>
        <v>4.1389853674165616E-2</v>
      </c>
      <c r="I51" s="14"/>
    </row>
    <row r="52" spans="1:9" s="6" customFormat="1" ht="12.75" x14ac:dyDescent="0.2">
      <c r="A52" s="24" t="s">
        <v>539</v>
      </c>
      <c r="B52" s="20">
        <f>INDEX('Raw Data'!$C$2:$LO$71,$B$1,314)</f>
        <v>3967234</v>
      </c>
      <c r="C52" s="21">
        <f t="shared" si="6"/>
        <v>2.8599635588458086E-2</v>
      </c>
      <c r="D52" s="14"/>
      <c r="F52" s="24" t="s">
        <v>532</v>
      </c>
      <c r="G52" s="20">
        <f>INDEX('Raw Data'!$C$2:$LO$71,$B$1,303)</f>
        <v>13265652</v>
      </c>
      <c r="H52" s="21">
        <f t="shared" si="4"/>
        <v>9.5631569260421795E-2</v>
      </c>
      <c r="I52" s="14"/>
    </row>
    <row r="53" spans="1:9" s="6" customFormat="1" ht="12.75" x14ac:dyDescent="0.2">
      <c r="A53" s="24"/>
      <c r="B53" s="14"/>
      <c r="C53" s="21"/>
      <c r="D53" s="14"/>
      <c r="F53" s="24" t="s">
        <v>533</v>
      </c>
      <c r="G53" s="20">
        <f>INDEX('Raw Data'!$C$2:$LO$71,$B$1,304)</f>
        <v>18969526</v>
      </c>
      <c r="H53" s="21">
        <f t="shared" si="4"/>
        <v>0.13675057505702487</v>
      </c>
      <c r="I53" s="14"/>
    </row>
    <row r="54" spans="1:9" s="6" customFormat="1" ht="12.75" x14ac:dyDescent="0.2">
      <c r="A54" s="24" t="s">
        <v>545</v>
      </c>
      <c r="B54" s="20">
        <f>INDEX('Raw Data'!$C$2:$LO$71,$B$1,315)</f>
        <v>8720459</v>
      </c>
      <c r="C54" s="21">
        <f t="shared" si="6"/>
        <v>6.2865449722423639E-2</v>
      </c>
      <c r="D54" s="14"/>
      <c r="F54" s="24" t="s">
        <v>540</v>
      </c>
      <c r="G54" s="20">
        <f>INDEX('Raw Data'!$C$2:$LO$71,$B$1,305)</f>
        <v>2944842</v>
      </c>
      <c r="H54" s="21">
        <f t="shared" si="4"/>
        <v>2.1229251429481118E-2</v>
      </c>
      <c r="I54" s="14"/>
    </row>
    <row r="55" spans="1:9" s="6" customFormat="1" ht="12.75" x14ac:dyDescent="0.2">
      <c r="A55" s="24"/>
      <c r="B55" s="14"/>
      <c r="C55" s="21"/>
      <c r="D55" s="14"/>
      <c r="F55" s="24" t="s">
        <v>542</v>
      </c>
      <c r="G55" s="20">
        <f>INDEX('Raw Data'!$C$2:$LO$71,$B$1,306)</f>
        <v>9884532</v>
      </c>
      <c r="H55" s="21">
        <f t="shared" si="4"/>
        <v>7.1257206699290435E-2</v>
      </c>
      <c r="I55" s="14"/>
    </row>
    <row r="56" spans="1:9" s="6" customFormat="1" ht="12.75" x14ac:dyDescent="0.2">
      <c r="A56" s="24" t="s">
        <v>547</v>
      </c>
      <c r="B56" s="20">
        <f>INDEX('Raw Data'!$C$2:$LO$71,$B$1,316)</f>
        <v>176742</v>
      </c>
      <c r="C56" s="21">
        <f t="shared" si="6"/>
        <v>1.2741262030863971E-3</v>
      </c>
      <c r="D56" s="14"/>
      <c r="F56" s="24" t="s">
        <v>543</v>
      </c>
      <c r="G56" s="20">
        <f>INDEX('Raw Data'!$C$2:$LO$71,$B$1,307)</f>
        <v>6897324</v>
      </c>
      <c r="H56" s="21">
        <f t="shared" si="4"/>
        <v>4.9722540423762777E-2</v>
      </c>
      <c r="I56" s="14"/>
    </row>
    <row r="57" spans="1:9" s="6" customFormat="1" ht="12.75" x14ac:dyDescent="0.2">
      <c r="F57" s="24" t="s">
        <v>534</v>
      </c>
      <c r="G57" s="20">
        <f>INDEX('Raw Data'!$C$2:$LO$71,$B$1,308)</f>
        <v>7169898</v>
      </c>
      <c r="H57" s="21">
        <f t="shared" si="4"/>
        <v>5.1687515787174253E-2</v>
      </c>
      <c r="I57" s="14"/>
    </row>
    <row r="58" spans="1:9" s="6" customFormat="1" ht="12.75" x14ac:dyDescent="0.2"/>
    <row r="59" spans="1:9" s="6" customFormat="1" ht="12.75" x14ac:dyDescent="0.2"/>
    <row r="60" spans="1:9" s="6" customFormat="1" ht="12.75" x14ac:dyDescent="0.2"/>
    <row r="61" spans="1:9" s="6" customFormat="1" ht="12.75" x14ac:dyDescent="0.2"/>
    <row r="62" spans="1:9" s="6" customFormat="1" ht="12.75" x14ac:dyDescent="0.2"/>
    <row r="63" spans="1:9" s="6" customFormat="1" ht="12.75" x14ac:dyDescent="0.2"/>
    <row r="64" spans="1:9" s="6" customFormat="1" ht="18.75" x14ac:dyDescent="0.3">
      <c r="A64" s="7"/>
      <c r="B64" s="78">
        <v>1</v>
      </c>
      <c r="C64" s="78"/>
      <c r="D64" s="78"/>
      <c r="E64" s="78"/>
      <c r="F64" s="78"/>
      <c r="G64" s="78"/>
      <c r="H64" s="8"/>
      <c r="I64" s="8"/>
    </row>
    <row r="65" spans="1:9" s="6" customFormat="1" ht="18.75" x14ac:dyDescent="0.3">
      <c r="A65" s="9"/>
      <c r="B65" s="79">
        <f>INDEX('Raw Data'!$B$2:$IV$71,$B$1,1)</f>
        <v>0</v>
      </c>
      <c r="C65" s="79"/>
      <c r="D65" s="79"/>
      <c r="E65" s="79"/>
      <c r="F65" s="79"/>
      <c r="G65" s="79"/>
      <c r="H65" s="11"/>
      <c r="I65" s="11"/>
    </row>
    <row r="66" spans="1:9" s="6" customFormat="1" ht="12.75" x14ac:dyDescent="0.2"/>
    <row r="67" spans="1:9" s="6" customFormat="1" ht="13.5" thickBot="1" x14ac:dyDescent="0.25">
      <c r="C67" s="13" t="s">
        <v>464</v>
      </c>
      <c r="D67" s="13" t="s">
        <v>465</v>
      </c>
      <c r="H67" s="13" t="s">
        <v>464</v>
      </c>
      <c r="I67" s="13" t="s">
        <v>465</v>
      </c>
    </row>
    <row r="68" spans="1:9" s="6" customFormat="1" ht="13.5" thickTop="1" x14ac:dyDescent="0.2">
      <c r="A68" s="28" t="s">
        <v>552</v>
      </c>
      <c r="B68" s="29">
        <f>INDEX('Raw Data'!$C$2:$LO$71,$B$1,9)</f>
        <v>123896538</v>
      </c>
      <c r="C68" s="30">
        <f>B68/INDEX('Raw Data'!$C$2:$LO$71,70,9)</f>
        <v>1</v>
      </c>
      <c r="D68" s="23"/>
      <c r="E68" s="14"/>
      <c r="F68" s="34" t="s">
        <v>631</v>
      </c>
      <c r="G68" s="29">
        <f>INDEX('Raw Data'!$C$2:$LO$71,$B$1,10)</f>
        <v>130055646</v>
      </c>
      <c r="H68" s="30">
        <f>G68/INDEX('Raw Data'!$C$2:$LO$71,70,10)</f>
        <v>1</v>
      </c>
      <c r="I68" s="23"/>
    </row>
    <row r="69" spans="1:9" s="6" customFormat="1" ht="13.5" thickBot="1" x14ac:dyDescent="0.25"/>
    <row r="70" spans="1:9" s="6" customFormat="1" ht="13.5" thickTop="1" x14ac:dyDescent="0.2">
      <c r="A70" s="22" t="s">
        <v>632</v>
      </c>
      <c r="B70" s="23"/>
      <c r="C70" s="23"/>
      <c r="D70" s="23"/>
      <c r="F70" s="22" t="s">
        <v>630</v>
      </c>
      <c r="G70" s="23"/>
      <c r="H70" s="23"/>
      <c r="I70" s="23"/>
    </row>
    <row r="71" spans="1:9" s="6" customFormat="1" ht="12.75" x14ac:dyDescent="0.2">
      <c r="A71" s="24" t="s">
        <v>553</v>
      </c>
      <c r="B71" s="20">
        <f>INDEX('Raw Data'!$C$2:$LO$71,$B$1,71)</f>
        <v>81245453</v>
      </c>
      <c r="C71" s="21">
        <f>B71/B$68</f>
        <v>0.65575240689937597</v>
      </c>
      <c r="D71" s="14"/>
      <c r="F71" s="24" t="s">
        <v>561</v>
      </c>
      <c r="G71" s="33">
        <f>INDEX('Raw Data'!$C$2:$LO$71,$B$1,79)</f>
        <v>2.54</v>
      </c>
      <c r="H71" s="14"/>
      <c r="I71" s="14"/>
    </row>
    <row r="72" spans="1:9" s="6" customFormat="1" ht="12.75" x14ac:dyDescent="0.2">
      <c r="A72" s="24" t="s">
        <v>554</v>
      </c>
      <c r="B72" s="20">
        <f>INDEX('Raw Data'!$C$2:$LO$71,$B$1,72)</f>
        <v>42651085</v>
      </c>
      <c r="C72" s="21">
        <f>B72/B$68</f>
        <v>0.34424759310062403</v>
      </c>
      <c r="D72" s="14"/>
      <c r="F72" s="24" t="s">
        <v>562</v>
      </c>
      <c r="G72" s="20">
        <f>INDEX('Raw Data'!$C$2:$LO$71,$B$1,80)</f>
        <v>34180445</v>
      </c>
      <c r="H72" s="21">
        <f t="shared" ref="H72:H78" si="7">G72/B$68</f>
        <v>0.27587893537428787</v>
      </c>
      <c r="I72" s="14"/>
    </row>
    <row r="73" spans="1:9" s="6" customFormat="1" ht="13.5" thickBot="1" x14ac:dyDescent="0.25">
      <c r="F73" s="24" t="s">
        <v>563</v>
      </c>
      <c r="G73" s="20">
        <f>INDEX('Raw Data'!$C$2:$LO$71,$B$1,81)</f>
        <v>40590686</v>
      </c>
      <c r="H73" s="21">
        <f t="shared" si="7"/>
        <v>0.32761759654656369</v>
      </c>
      <c r="I73" s="14"/>
    </row>
    <row r="74" spans="1:9" s="6" customFormat="1" ht="13.5" thickTop="1" x14ac:dyDescent="0.2">
      <c r="A74" s="22" t="s">
        <v>633</v>
      </c>
      <c r="B74" s="23"/>
      <c r="C74" s="23"/>
      <c r="D74" s="23"/>
      <c r="F74" s="24" t="s">
        <v>564</v>
      </c>
      <c r="G74" s="20">
        <f>INDEX('Raw Data'!$C$2:$LO$71,$B$1,82)</f>
        <v>19376582</v>
      </c>
      <c r="H74" s="21">
        <f t="shared" si="7"/>
        <v>0.1563932480502401</v>
      </c>
      <c r="I74" s="14"/>
    </row>
    <row r="75" spans="1:9" s="6" customFormat="1" ht="12.75" x14ac:dyDescent="0.2">
      <c r="A75" s="24" t="s">
        <v>555</v>
      </c>
      <c r="B75" s="20">
        <f>INDEX('Raw Data'!$C$2:$LO$71,$B$1,73)</f>
        <v>25301173</v>
      </c>
      <c r="C75" s="21">
        <f t="shared" ref="C75:C80" si="8">B75/B$71</f>
        <v>0.31141648013212503</v>
      </c>
      <c r="D75" s="14"/>
      <c r="F75" s="24" t="s">
        <v>565</v>
      </c>
      <c r="G75" s="20">
        <f>INDEX('Raw Data'!$C$2:$LO$71,$B$1,83)</f>
        <v>16192966</v>
      </c>
      <c r="H75" s="21">
        <f t="shared" si="7"/>
        <v>0.1306974856714721</v>
      </c>
      <c r="I75" s="14"/>
    </row>
    <row r="76" spans="1:9" s="6" customFormat="1" ht="12.75" x14ac:dyDescent="0.2">
      <c r="A76" s="24" t="s">
        <v>556</v>
      </c>
      <c r="B76" s="20">
        <f>INDEX('Raw Data'!$C$2:$LO$71,$B$1,74)</f>
        <v>3448039</v>
      </c>
      <c r="C76" s="21">
        <f t="shared" si="8"/>
        <v>4.2439778137491585E-2</v>
      </c>
      <c r="D76" s="14"/>
      <c r="F76" s="24" t="s">
        <v>566</v>
      </c>
      <c r="G76" s="20">
        <f>INDEX('Raw Data'!$C$2:$LO$71,$B$1,84)</f>
        <v>7851535</v>
      </c>
      <c r="H76" s="21">
        <f t="shared" si="7"/>
        <v>6.3371706156954921E-2</v>
      </c>
      <c r="I76" s="14"/>
    </row>
    <row r="77" spans="1:9" s="6" customFormat="1" ht="12.75" x14ac:dyDescent="0.2">
      <c r="A77" s="24" t="s">
        <v>557</v>
      </c>
      <c r="B77" s="20">
        <f>INDEX('Raw Data'!$C$2:$LO$71,$B$1,75)</f>
        <v>10337926</v>
      </c>
      <c r="C77" s="21">
        <f t="shared" si="8"/>
        <v>0.1272431332249449</v>
      </c>
      <c r="D77" s="14"/>
      <c r="F77" s="24" t="s">
        <v>567</v>
      </c>
      <c r="G77" s="20">
        <f>INDEX('Raw Data'!$C$2:$LO$71,$B$1,85)</f>
        <v>3215889</v>
      </c>
      <c r="H77" s="21">
        <f t="shared" si="7"/>
        <v>2.5956245847644267E-2</v>
      </c>
      <c r="I77" s="14"/>
    </row>
    <row r="78" spans="1:9" s="6" customFormat="1" ht="12.75" x14ac:dyDescent="0.2">
      <c r="A78" s="24" t="s">
        <v>558</v>
      </c>
      <c r="B78" s="20">
        <f>INDEX('Raw Data'!$C$2:$LO$71,$B$1,76)</f>
        <v>33752735</v>
      </c>
      <c r="C78" s="21">
        <f t="shared" si="8"/>
        <v>0.41544152630917081</v>
      </c>
      <c r="D78" s="14"/>
      <c r="F78" s="24" t="s">
        <v>568</v>
      </c>
      <c r="G78" s="20">
        <f>INDEX('Raw Data'!$C$2:$LO$71,$B$1,86)</f>
        <v>2488435</v>
      </c>
      <c r="H78" s="21">
        <f t="shared" si="7"/>
        <v>2.0084782352837009E-2</v>
      </c>
      <c r="I78" s="14"/>
    </row>
    <row r="79" spans="1:9" s="6" customFormat="1" ht="12.75" x14ac:dyDescent="0.2">
      <c r="A79" s="24" t="s">
        <v>559</v>
      </c>
      <c r="B79" s="20">
        <f>INDEX('Raw Data'!$C$2:$LO$71,$B$1,77)</f>
        <v>2628207</v>
      </c>
      <c r="C79" s="21">
        <f t="shared" si="8"/>
        <v>3.2348973425011245E-2</v>
      </c>
      <c r="D79" s="14"/>
    </row>
    <row r="80" spans="1:9" s="6" customFormat="1" ht="13.5" thickBot="1" x14ac:dyDescent="0.25">
      <c r="A80" s="24" t="s">
        <v>560</v>
      </c>
      <c r="B80" s="20">
        <f>INDEX('Raw Data'!$C$2:$LO$71,$B$1,78)</f>
        <v>5744561</v>
      </c>
      <c r="C80" s="21">
        <f t="shared" si="8"/>
        <v>7.0706246169862583E-2</v>
      </c>
      <c r="D80" s="14"/>
    </row>
    <row r="81" spans="1:9" s="6" customFormat="1" ht="14.25" thickTop="1" thickBot="1" x14ac:dyDescent="0.25">
      <c r="F81" s="22" t="s">
        <v>635</v>
      </c>
      <c r="G81" s="23"/>
      <c r="H81" s="23"/>
      <c r="I81" s="23"/>
    </row>
    <row r="82" spans="1:9" s="6" customFormat="1" ht="13.5" thickTop="1" x14ac:dyDescent="0.2">
      <c r="A82" s="22" t="s">
        <v>634</v>
      </c>
      <c r="B82" s="23"/>
      <c r="C82" s="23"/>
      <c r="D82" s="23"/>
      <c r="F82" s="24" t="s">
        <v>577</v>
      </c>
      <c r="G82" s="20">
        <f>INDEX('Raw Data'!$C$2:$LO$71,$B$1,96)</f>
        <v>11036024</v>
      </c>
      <c r="H82" s="21">
        <f>G82/B$68</f>
        <v>8.907451473744972E-2</v>
      </c>
      <c r="I82" s="14"/>
    </row>
    <row r="83" spans="1:9" s="6" customFormat="1" ht="12.75" x14ac:dyDescent="0.2">
      <c r="A83" s="24" t="s">
        <v>488</v>
      </c>
      <c r="B83" s="33">
        <f>INDEX('Raw Data'!$C$2:$LO$71,$B$1,87)</f>
        <v>51.02</v>
      </c>
      <c r="C83" s="14"/>
      <c r="D83" s="14"/>
      <c r="F83" s="27" t="s">
        <v>579</v>
      </c>
      <c r="G83" s="20">
        <f>INDEX('Raw Data'!$C$2:$LO$71,$B$1,97)</f>
        <v>41456297</v>
      </c>
      <c r="H83" s="21">
        <f t="shared" ref="H83:H84" si="9">G83/B$68</f>
        <v>0.33460415980307701</v>
      </c>
      <c r="I83" s="14"/>
    </row>
    <row r="84" spans="1:9" s="6" customFormat="1" ht="12.75" x14ac:dyDescent="0.2">
      <c r="A84" s="24" t="s">
        <v>569</v>
      </c>
      <c r="B84" s="20">
        <f>INDEX('Raw Data'!$C$2:$LO$71,$B$1,88)</f>
        <v>5429956</v>
      </c>
      <c r="C84" s="21">
        <f t="shared" ref="C84:C91" si="10">B84/B$68</f>
        <v>4.3826535330632077E-2</v>
      </c>
      <c r="D84" s="14"/>
      <c r="F84" s="27" t="s">
        <v>578</v>
      </c>
      <c r="G84" s="20">
        <f>INDEX('Raw Data'!$C$2:$LO$71,$B$1,98)</f>
        <v>71404217</v>
      </c>
      <c r="H84" s="21">
        <f t="shared" si="9"/>
        <v>0.57632132545947334</v>
      </c>
      <c r="I84" s="14"/>
    </row>
    <row r="85" spans="1:9" s="6" customFormat="1" ht="13.5" thickBot="1" x14ac:dyDescent="0.25">
      <c r="A85" s="24" t="s">
        <v>570</v>
      </c>
      <c r="B85" s="20">
        <f>INDEX('Raw Data'!$C$2:$LO$71,$B$1,89)</f>
        <v>19106091</v>
      </c>
      <c r="C85" s="21">
        <f t="shared" si="10"/>
        <v>0.15421004741875838</v>
      </c>
      <c r="D85" s="14"/>
    </row>
    <row r="86" spans="1:9" s="6" customFormat="1" ht="13.5" thickTop="1" x14ac:dyDescent="0.2">
      <c r="A86" s="24" t="s">
        <v>571</v>
      </c>
      <c r="B86" s="20">
        <f>INDEX('Raw Data'!$C$2:$LO$71,$B$1,90)</f>
        <v>20991187</v>
      </c>
      <c r="C86" s="21">
        <f t="shared" si="10"/>
        <v>0.16942512953832495</v>
      </c>
      <c r="D86" s="14"/>
      <c r="F86" s="22" t="s">
        <v>636</v>
      </c>
      <c r="G86" s="23"/>
      <c r="H86" s="23"/>
      <c r="I86" s="23"/>
    </row>
    <row r="87" spans="1:9" s="6" customFormat="1" ht="12.75" x14ac:dyDescent="0.2">
      <c r="A87" s="24" t="s">
        <v>572</v>
      </c>
      <c r="B87" s="20">
        <f>INDEX('Raw Data'!$C$2:$LO$71,$B$1,91)</f>
        <v>23384320</v>
      </c>
      <c r="C87" s="21">
        <f t="shared" si="10"/>
        <v>0.18874070557161168</v>
      </c>
      <c r="D87" s="14"/>
      <c r="F87" s="24" t="s">
        <v>580</v>
      </c>
      <c r="G87" s="20">
        <f>INDEX('Raw Data'!$C$2:$LO$71,$B$1,317)</f>
        <v>93117242</v>
      </c>
      <c r="H87" s="21">
        <f>G87/B$68</f>
        <v>0.75157259034953827</v>
      </c>
      <c r="I87" s="14"/>
    </row>
    <row r="88" spans="1:9" s="6" customFormat="1" ht="12.75" x14ac:dyDescent="0.2">
      <c r="A88" s="24" t="s">
        <v>573</v>
      </c>
      <c r="B88" s="20">
        <f>INDEX('Raw Data'!$C$2:$LO$71,$B$1,92)</f>
        <v>23700959</v>
      </c>
      <c r="C88" s="21">
        <f t="shared" si="10"/>
        <v>0.19129637827329768</v>
      </c>
      <c r="D88" s="14"/>
      <c r="F88" s="24" t="s">
        <v>582</v>
      </c>
      <c r="G88" s="20">
        <f>INDEX('Raw Data'!$C$2:$LO$71,$B$1,318)</f>
        <v>3315109</v>
      </c>
      <c r="H88" s="21">
        <f t="shared" ref="H88:H97" si="11">G88/B$68</f>
        <v>2.6757075326834395E-2</v>
      </c>
      <c r="I88" s="14"/>
    </row>
    <row r="89" spans="1:9" s="6" customFormat="1" ht="12.75" x14ac:dyDescent="0.2">
      <c r="A89" s="24" t="s">
        <v>574</v>
      </c>
      <c r="B89" s="20">
        <f>INDEX('Raw Data'!$C$2:$LO$71,$B$1,93)</f>
        <v>17313352</v>
      </c>
      <c r="C89" s="21">
        <f t="shared" si="10"/>
        <v>0.13974040178588365</v>
      </c>
      <c r="D89" s="14"/>
      <c r="F89" s="24" t="s">
        <v>581</v>
      </c>
      <c r="G89" s="20">
        <f>INDEX('Raw Data'!$C$2:$LO$71,$B$1,319)</f>
        <v>10083973</v>
      </c>
      <c r="H89" s="21">
        <f t="shared" si="11"/>
        <v>8.1390272583726275E-2</v>
      </c>
      <c r="I89" s="14"/>
    </row>
    <row r="90" spans="1:9" s="6" customFormat="1" ht="12.75" x14ac:dyDescent="0.2">
      <c r="A90" s="24" t="s">
        <v>575</v>
      </c>
      <c r="B90" s="20">
        <f>INDEX('Raw Data'!$C$2:$LO$71,$B$1,94)</f>
        <v>9561394</v>
      </c>
      <c r="C90" s="21">
        <f t="shared" si="10"/>
        <v>7.7172406544563824E-2</v>
      </c>
      <c r="D90" s="14"/>
      <c r="F90" s="24" t="s">
        <v>584</v>
      </c>
      <c r="G90" s="20">
        <f>INDEX('Raw Data'!$C$2:$LO$71,$B$1,320)</f>
        <v>864272</v>
      </c>
      <c r="H90" s="21">
        <f t="shared" si="11"/>
        <v>6.975755852031959E-3</v>
      </c>
      <c r="I90" s="14"/>
    </row>
    <row r="91" spans="1:9" s="6" customFormat="1" ht="12.75" x14ac:dyDescent="0.2">
      <c r="A91" s="24" t="s">
        <v>576</v>
      </c>
      <c r="B91" s="20">
        <f>INDEX('Raw Data'!$C$2:$LO$71,$B$1,95)</f>
        <v>4409279</v>
      </c>
      <c r="C91" s="21">
        <f t="shared" si="10"/>
        <v>3.5588395536927754E-2</v>
      </c>
      <c r="D91" s="14"/>
      <c r="F91" s="24" t="s">
        <v>583</v>
      </c>
      <c r="G91" s="20">
        <f>INDEX('Raw Data'!$C$2:$LO$71,$B$1,321)</f>
        <v>4479909</v>
      </c>
      <c r="H91" s="21">
        <f t="shared" si="11"/>
        <v>3.6158467963003128E-2</v>
      </c>
      <c r="I91" s="14"/>
    </row>
    <row r="92" spans="1:9" s="6" customFormat="1" ht="12.75" x14ac:dyDescent="0.2">
      <c r="F92" s="24" t="s">
        <v>586</v>
      </c>
      <c r="G92" s="20">
        <f>INDEX('Raw Data'!$C$2:$LO$71,$B$1,322)</f>
        <v>1008723</v>
      </c>
      <c r="H92" s="21">
        <f t="shared" si="11"/>
        <v>8.1416560646755121E-3</v>
      </c>
      <c r="I92" s="14"/>
    </row>
    <row r="93" spans="1:9" s="6" customFormat="1" ht="12.75" x14ac:dyDescent="0.2">
      <c r="F93" s="24" t="s">
        <v>585</v>
      </c>
      <c r="G93" s="20">
        <f>INDEX('Raw Data'!$C$2:$LO$71,$B$1,323)</f>
        <v>2737605</v>
      </c>
      <c r="H93" s="21">
        <f t="shared" si="11"/>
        <v>2.2095895851424033E-2</v>
      </c>
      <c r="I93" s="14"/>
    </row>
    <row r="94" spans="1:9" s="6" customFormat="1" ht="12.75" x14ac:dyDescent="0.2">
      <c r="F94" s="24" t="s">
        <v>588</v>
      </c>
      <c r="G94" s="20">
        <f>INDEX('Raw Data'!$C$2:$LO$71,$B$1,324)</f>
        <v>186449</v>
      </c>
      <c r="H94" s="21">
        <f t="shared" si="11"/>
        <v>1.5048765930812369E-3</v>
      </c>
      <c r="I94" s="14"/>
    </row>
    <row r="95" spans="1:9" s="6" customFormat="1" ht="12.75" x14ac:dyDescent="0.2">
      <c r="F95" s="24" t="s">
        <v>587</v>
      </c>
      <c r="G95" s="20">
        <f>INDEX('Raw Data'!$C$2:$LO$71,$B$1,325)</f>
        <v>923010</v>
      </c>
      <c r="H95" s="21">
        <f t="shared" si="11"/>
        <v>7.4498449666123845E-3</v>
      </c>
      <c r="I95" s="14"/>
    </row>
    <row r="96" spans="1:9" s="6" customFormat="1" ht="12.75" x14ac:dyDescent="0.2">
      <c r="F96" s="24"/>
      <c r="G96" s="14"/>
      <c r="H96" s="14"/>
      <c r="I96" s="14"/>
    </row>
    <row r="97" spans="1:9" s="6" customFormat="1" ht="12.75" x14ac:dyDescent="0.2">
      <c r="F97" s="24" t="s">
        <v>589</v>
      </c>
      <c r="G97" s="20">
        <f>G88+G90+G92+G94</f>
        <v>5374553</v>
      </c>
      <c r="H97" s="21">
        <f t="shared" si="11"/>
        <v>4.3379363836623101E-2</v>
      </c>
      <c r="I97" s="14"/>
    </row>
    <row r="98" spans="1:9" s="6" customFormat="1" ht="13.5" thickBot="1" x14ac:dyDescent="0.25"/>
    <row r="99" spans="1:9" s="6" customFormat="1" ht="13.5" thickTop="1" x14ac:dyDescent="0.2">
      <c r="A99" s="28" t="s">
        <v>590</v>
      </c>
      <c r="B99" s="23"/>
      <c r="C99" s="23"/>
      <c r="D99" s="23"/>
    </row>
    <row r="100" spans="1:9" s="6" customFormat="1" ht="13.5" thickBot="1" x14ac:dyDescent="0.25">
      <c r="A100" s="24"/>
      <c r="B100" s="14"/>
      <c r="C100" s="14"/>
      <c r="D100" s="14"/>
    </row>
    <row r="101" spans="1:9" s="6" customFormat="1" ht="13.5" thickTop="1" x14ac:dyDescent="0.2">
      <c r="A101" s="24" t="s">
        <v>591</v>
      </c>
      <c r="B101" s="35">
        <f>INDEX('Raw Data'!$C$2:$LO$71,$B$1,100)</f>
        <v>56105</v>
      </c>
      <c r="C101" s="14"/>
      <c r="D101" s="14"/>
      <c r="F101" s="22" t="s">
        <v>638</v>
      </c>
      <c r="G101" s="23"/>
      <c r="H101" s="23"/>
      <c r="I101" s="23"/>
    </row>
    <row r="102" spans="1:9" s="6" customFormat="1" ht="12.75" x14ac:dyDescent="0.2">
      <c r="A102" s="24" t="s">
        <v>592</v>
      </c>
      <c r="B102" s="35">
        <f>INDEX('Raw Data'!$C$2:$LO$71,$B$1,101)</f>
        <v>70234</v>
      </c>
      <c r="C102" s="14"/>
      <c r="D102" s="14"/>
      <c r="F102" s="27" t="s">
        <v>617</v>
      </c>
      <c r="G102" s="20">
        <f>INDEX('Raw Data'!$C$2:$LO$71,$B$1,102)</f>
        <v>8933490</v>
      </c>
      <c r="H102" s="21">
        <f t="shared" ref="H102:H117" si="12">G102/B$68</f>
        <v>7.2104436041626932E-2</v>
      </c>
      <c r="I102" s="14"/>
    </row>
    <row r="103" spans="1:9" s="6" customFormat="1" ht="12.75" x14ac:dyDescent="0.2">
      <c r="A103" s="24" t="s">
        <v>593</v>
      </c>
      <c r="B103" s="35">
        <f>INDEX('Raw Data'!$C$2:$LO$71,$B$1,99)</f>
        <v>30207</v>
      </c>
      <c r="C103" s="14"/>
      <c r="D103" s="14"/>
      <c r="F103" s="24" t="s">
        <v>602</v>
      </c>
      <c r="G103" s="20">
        <f>INDEX('Raw Data'!$C$2:$LO$71,$B$1,103)</f>
        <v>6215498</v>
      </c>
      <c r="H103" s="21">
        <f t="shared" si="12"/>
        <v>5.0166841627164754E-2</v>
      </c>
      <c r="I103" s="14"/>
    </row>
    <row r="104" spans="1:9" s="6" customFormat="1" ht="12.75" x14ac:dyDescent="0.2">
      <c r="A104" s="24"/>
      <c r="B104" s="14"/>
      <c r="C104" s="14"/>
      <c r="D104" s="14"/>
      <c r="F104" s="24" t="s">
        <v>603</v>
      </c>
      <c r="G104" s="20">
        <f>INDEX('Raw Data'!$C$2:$LO$71,$B$1,104)</f>
        <v>6094698</v>
      </c>
      <c r="H104" s="21">
        <f t="shared" si="12"/>
        <v>4.9191834561188467E-2</v>
      </c>
      <c r="I104" s="14"/>
    </row>
    <row r="105" spans="1:9" s="6" customFormat="1" ht="12.75" x14ac:dyDescent="0.2">
      <c r="A105" s="24" t="s">
        <v>594</v>
      </c>
      <c r="B105" s="35">
        <f>INDEX('Raw Data'!$C$2:$LO$71,$B$1,169)</f>
        <v>607542</v>
      </c>
      <c r="C105" s="14"/>
      <c r="D105" s="14"/>
      <c r="F105" s="24" t="s">
        <v>604</v>
      </c>
      <c r="G105" s="20">
        <f>INDEX('Raw Data'!$C$2:$LO$71,$B$1,105)</f>
        <v>6423726</v>
      </c>
      <c r="H105" s="21">
        <f t="shared" si="12"/>
        <v>5.1847501985890838E-2</v>
      </c>
      <c r="I105" s="14"/>
    </row>
    <row r="106" spans="1:9" s="6" customFormat="1" ht="13.5" thickBot="1" x14ac:dyDescent="0.25">
      <c r="F106" s="24" t="s">
        <v>605</v>
      </c>
      <c r="G106" s="20">
        <f>INDEX('Raw Data'!$C$2:$LO$71,$B$1,106)</f>
        <v>6119115</v>
      </c>
      <c r="H106" s="21">
        <f t="shared" si="12"/>
        <v>4.9388910285774086E-2</v>
      </c>
      <c r="I106" s="14"/>
    </row>
    <row r="107" spans="1:9" s="6" customFormat="1" ht="13.5" thickTop="1" x14ac:dyDescent="0.2">
      <c r="A107" s="22" t="s">
        <v>637</v>
      </c>
      <c r="B107" s="23"/>
      <c r="C107" s="23"/>
      <c r="D107" s="23"/>
      <c r="F107" s="24" t="s">
        <v>606</v>
      </c>
      <c r="G107" s="20">
        <f>INDEX('Raw Data'!$C$2:$LO$71,$B$1,107)</f>
        <v>6038546</v>
      </c>
      <c r="H107" s="21">
        <f t="shared" si="12"/>
        <v>4.873861770052041E-2</v>
      </c>
      <c r="I107" s="14"/>
    </row>
    <row r="108" spans="1:9" s="6" customFormat="1" ht="12.75" x14ac:dyDescent="0.2">
      <c r="A108" s="24" t="s">
        <v>595</v>
      </c>
      <c r="B108" s="35">
        <f>INDEX('Raw Data'!$C$2:$LO$71,$B$1,118)</f>
        <v>31349</v>
      </c>
      <c r="C108" s="14"/>
      <c r="D108" s="14"/>
      <c r="F108" s="24" t="s">
        <v>607</v>
      </c>
      <c r="G108" s="20">
        <f>INDEX('Raw Data'!$C$2:$LO$71,$B$1,108)</f>
        <v>5727152</v>
      </c>
      <c r="H108" s="21">
        <f t="shared" si="12"/>
        <v>4.6225278707949048E-2</v>
      </c>
      <c r="I108" s="14"/>
    </row>
    <row r="109" spans="1:9" s="6" customFormat="1" ht="12.75" x14ac:dyDescent="0.2">
      <c r="A109" s="27" t="s">
        <v>596</v>
      </c>
      <c r="B109" s="35">
        <f>INDEX('Raw Data'!$C$2:$LO$71,$B$1,119)</f>
        <v>53909</v>
      </c>
      <c r="C109" s="14"/>
      <c r="D109" s="14"/>
      <c r="F109" s="24" t="s">
        <v>608</v>
      </c>
      <c r="G109" s="20">
        <f>INDEX('Raw Data'!$C$2:$LO$71,$B$1,109)</f>
        <v>5370768</v>
      </c>
      <c r="H109" s="21">
        <f t="shared" si="12"/>
        <v>4.3348814153305881E-2</v>
      </c>
      <c r="I109" s="14"/>
    </row>
    <row r="110" spans="1:9" s="6" customFormat="1" ht="12.75" x14ac:dyDescent="0.2">
      <c r="A110" s="27" t="s">
        <v>597</v>
      </c>
      <c r="B110" s="35">
        <f>INDEX('Raw Data'!$C$2:$LO$71,$B$1,120)</f>
        <v>65962</v>
      </c>
      <c r="C110" s="14"/>
      <c r="D110" s="14"/>
      <c r="F110" s="24" t="s">
        <v>609</v>
      </c>
      <c r="G110" s="20">
        <f>INDEX('Raw Data'!$C$2:$LO$71,$B$1,110)</f>
        <v>5158773</v>
      </c>
      <c r="H110" s="21">
        <f t="shared" si="12"/>
        <v>4.1637749393772405E-2</v>
      </c>
      <c r="I110" s="14"/>
    </row>
    <row r="111" spans="1:9" s="6" customFormat="1" ht="12.75" x14ac:dyDescent="0.2">
      <c r="A111" s="27" t="s">
        <v>598</v>
      </c>
      <c r="B111" s="35">
        <f>INDEX('Raw Data'!$C$2:$LO$71,$B$1,121)</f>
        <v>70495</v>
      </c>
      <c r="C111" s="14"/>
      <c r="D111" s="14"/>
      <c r="F111" s="24" t="s">
        <v>610</v>
      </c>
      <c r="G111" s="20">
        <f>INDEX('Raw Data'!$C$2:$LO$71,$B$1,111)</f>
        <v>9607304</v>
      </c>
      <c r="H111" s="21">
        <f t="shared" si="12"/>
        <v>7.754295765713809E-2</v>
      </c>
      <c r="I111" s="14"/>
    </row>
    <row r="112" spans="1:9" s="6" customFormat="1" ht="12.75" x14ac:dyDescent="0.2">
      <c r="A112" s="27" t="s">
        <v>599</v>
      </c>
      <c r="B112" s="35">
        <f>INDEX('Raw Data'!$C$2:$LO$71,$B$1,122)</f>
        <v>64051</v>
      </c>
      <c r="C112" s="14"/>
      <c r="D112" s="14"/>
      <c r="F112" s="24" t="s">
        <v>611</v>
      </c>
      <c r="G112" s="20">
        <f>INDEX('Raw Data'!$C$2:$LO$71,$B$1,112)</f>
        <v>12088608</v>
      </c>
      <c r="H112" s="21">
        <f t="shared" si="12"/>
        <v>9.7570183922330425E-2</v>
      </c>
      <c r="I112" s="14"/>
    </row>
    <row r="113" spans="1:9" s="6" customFormat="1" ht="12.75" x14ac:dyDescent="0.2">
      <c r="A113" s="27" t="s">
        <v>600</v>
      </c>
      <c r="B113" s="35">
        <f>INDEX('Raw Data'!$C$2:$LO$71,$B$1,123)</f>
        <v>50449</v>
      </c>
      <c r="C113" s="14"/>
      <c r="D113" s="14"/>
      <c r="F113" s="24" t="s">
        <v>613</v>
      </c>
      <c r="G113" s="20">
        <f>INDEX('Raw Data'!$C$2:$LO$71,$B$1,113)</f>
        <v>15177565</v>
      </c>
      <c r="H113" s="21">
        <f t="shared" si="12"/>
        <v>0.12250192979564933</v>
      </c>
      <c r="I113" s="14"/>
    </row>
    <row r="114" spans="1:9" s="6" customFormat="1" ht="12.75" x14ac:dyDescent="0.2">
      <c r="A114" s="27" t="s">
        <v>601</v>
      </c>
      <c r="B114" s="35">
        <f>INDEX('Raw Data'!$C$2:$LO$71,$B$1,124)</f>
        <v>36673</v>
      </c>
      <c r="C114" s="14"/>
      <c r="D114" s="14"/>
      <c r="F114" s="24" t="s">
        <v>612</v>
      </c>
      <c r="G114" s="20">
        <f>INDEX('Raw Data'!$C$2:$LO$71,$B$1,114)</f>
        <v>9783823</v>
      </c>
      <c r="H114" s="21">
        <f t="shared" si="12"/>
        <v>7.8967686732295941E-2</v>
      </c>
      <c r="I114" s="14"/>
    </row>
    <row r="115" spans="1:9" s="6" customFormat="1" ht="12.75" x14ac:dyDescent="0.2">
      <c r="A115" s="12"/>
      <c r="B115" s="17"/>
      <c r="F115" s="24" t="s">
        <v>614</v>
      </c>
      <c r="G115" s="20">
        <f>INDEX('Raw Data'!$C$2:$LO$71,$B$1,115)</f>
        <v>6674495</v>
      </c>
      <c r="H115" s="21">
        <f t="shared" si="12"/>
        <v>5.3871521414101176E-2</v>
      </c>
      <c r="I115" s="14"/>
    </row>
    <row r="116" spans="1:9" s="6" customFormat="1" ht="12.75" x14ac:dyDescent="0.2">
      <c r="F116" s="24" t="s">
        <v>615</v>
      </c>
      <c r="G116" s="20">
        <f>INDEX('Raw Data'!$C$2:$LO$71,$B$1,116)</f>
        <v>6774577</v>
      </c>
      <c r="H116" s="21">
        <f t="shared" si="12"/>
        <v>5.4679308311262095E-2</v>
      </c>
      <c r="I116" s="14"/>
    </row>
    <row r="117" spans="1:9" s="6" customFormat="1" ht="12.75" x14ac:dyDescent="0.2">
      <c r="F117" s="24" t="s">
        <v>616</v>
      </c>
      <c r="G117" s="20">
        <f>INDEX('Raw Data'!$C$2:$LO$71,$B$1,117)</f>
        <v>7708400</v>
      </c>
      <c r="H117" s="21">
        <f t="shared" si="12"/>
        <v>6.2216427710030123E-2</v>
      </c>
      <c r="I117" s="14"/>
    </row>
    <row r="118" spans="1:9" s="6" customFormat="1" ht="12.75" x14ac:dyDescent="0.2"/>
    <row r="119" spans="1:9" s="6" customFormat="1" ht="12.75" x14ac:dyDescent="0.2"/>
    <row r="120" spans="1:9" s="6" customFormat="1" ht="12.75" x14ac:dyDescent="0.2"/>
    <row r="121" spans="1:9" s="6" customFormat="1" ht="12.75" x14ac:dyDescent="0.2"/>
    <row r="122" spans="1:9" s="6" customFormat="1" ht="12.75" x14ac:dyDescent="0.2"/>
    <row r="123" spans="1:9" s="6" customFormat="1" ht="12.75" x14ac:dyDescent="0.2"/>
    <row r="124" spans="1:9" s="6" customFormat="1" ht="18.75" x14ac:dyDescent="0.3">
      <c r="A124" s="7"/>
      <c r="B124" s="78">
        <v>1</v>
      </c>
      <c r="C124" s="78"/>
      <c r="D124" s="78"/>
      <c r="E124" s="78"/>
      <c r="F124" s="78"/>
      <c r="G124" s="78"/>
      <c r="H124" s="8"/>
      <c r="I124" s="8"/>
    </row>
    <row r="125" spans="1:9" s="6" customFormat="1" ht="18.75" x14ac:dyDescent="0.3">
      <c r="A125" s="9"/>
      <c r="B125" s="79">
        <f>INDEX('Raw Data'!$B$2:$IV$71,$B$1,1)</f>
        <v>0</v>
      </c>
      <c r="C125" s="79"/>
      <c r="D125" s="79"/>
      <c r="E125" s="79"/>
      <c r="F125" s="79"/>
      <c r="G125" s="79"/>
      <c r="H125" s="11"/>
      <c r="I125" s="11"/>
    </row>
    <row r="126" spans="1:9" s="6" customFormat="1" ht="12.75" x14ac:dyDescent="0.2"/>
    <row r="127" spans="1:9" s="6" customFormat="1" ht="13.5" thickBot="1" x14ac:dyDescent="0.25">
      <c r="C127" s="13" t="s">
        <v>464</v>
      </c>
      <c r="D127" s="13" t="s">
        <v>465</v>
      </c>
      <c r="H127" s="13" t="s">
        <v>464</v>
      </c>
      <c r="I127" s="13" t="s">
        <v>465</v>
      </c>
    </row>
    <row r="128" spans="1:9" s="6" customFormat="1" ht="13.5" thickTop="1" x14ac:dyDescent="0.2">
      <c r="A128" s="28" t="s">
        <v>618</v>
      </c>
      <c r="B128" s="31">
        <f>INDEX('Raw Data'!$C$2:$LO$71,$B$1,11)</f>
        <v>134860059</v>
      </c>
      <c r="C128" s="32">
        <f>B128/INDEX('Raw Data'!$C$2:$LO$71,70,11)</f>
        <v>1</v>
      </c>
      <c r="D128" s="23"/>
      <c r="F128" s="22" t="s">
        <v>644</v>
      </c>
      <c r="G128" s="23"/>
      <c r="H128" s="23"/>
      <c r="I128" s="23"/>
    </row>
    <row r="129" spans="1:9" s="6" customFormat="1" ht="13.5" thickBot="1" x14ac:dyDescent="0.25">
      <c r="F129" s="24" t="s">
        <v>470</v>
      </c>
      <c r="G129" s="20">
        <f>INDEX('Raw Data'!$C$2:$LO$71,$B$1,260)</f>
        <v>62273873</v>
      </c>
      <c r="H129" s="21">
        <f>G129/SUM(G$129:G$138)</f>
        <v>0.81954323630406278</v>
      </c>
      <c r="I129" s="14"/>
    </row>
    <row r="130" spans="1:9" s="6" customFormat="1" ht="13.5" thickTop="1" x14ac:dyDescent="0.2">
      <c r="A130" s="22" t="s">
        <v>620</v>
      </c>
      <c r="B130" s="23"/>
      <c r="C130" s="23"/>
      <c r="D130" s="23"/>
      <c r="F130" s="24" t="s">
        <v>471</v>
      </c>
      <c r="G130" s="20">
        <f>INDEX('Raw Data'!$C$2:$LO$71,$B$1,261)</f>
        <v>4466597</v>
      </c>
      <c r="H130" s="21">
        <f t="shared" ref="H130:H138" si="13">G130/SUM(G$129:G$138)</f>
        <v>5.8781784146395039E-2</v>
      </c>
      <c r="I130" s="14"/>
    </row>
    <row r="131" spans="1:9" s="6" customFormat="1" ht="12.75" x14ac:dyDescent="0.2">
      <c r="A131" s="24" t="s">
        <v>466</v>
      </c>
      <c r="B131" s="20">
        <f>INDEX('Raw Data'!$C$2:$LO$71,$B$1,12)</f>
        <v>79747794</v>
      </c>
      <c r="C131" s="36">
        <f>B131/B$128</f>
        <v>0.59133738032844851</v>
      </c>
      <c r="D131" s="14"/>
      <c r="F131" s="24" t="s">
        <v>472</v>
      </c>
      <c r="G131" s="20">
        <f>INDEX('Raw Data'!$C$2:$LO$71,$B$1,262)</f>
        <v>953025</v>
      </c>
      <c r="H131" s="21">
        <f t="shared" si="13"/>
        <v>1.2542100806524101E-2</v>
      </c>
      <c r="I131" s="14"/>
    </row>
    <row r="132" spans="1:9" s="6" customFormat="1" ht="12.75" x14ac:dyDescent="0.2">
      <c r="A132" s="24" t="s">
        <v>467</v>
      </c>
      <c r="B132" s="20">
        <f>INDEX('Raw Data'!$C$2:$LO$71,$B$1,13)</f>
        <v>44148744</v>
      </c>
      <c r="C132" s="36">
        <f>B132/B$128</f>
        <v>0.32736708205058695</v>
      </c>
      <c r="D132" s="14"/>
      <c r="F132" s="24" t="s">
        <v>619</v>
      </c>
      <c r="G132" s="20">
        <f>INDEX('Raw Data'!$C$2:$LO$71,$B$1,263)</f>
        <v>652189</v>
      </c>
      <c r="H132" s="21">
        <f t="shared" si="13"/>
        <v>8.5830069336125994E-3</v>
      </c>
      <c r="I132" s="14"/>
    </row>
    <row r="133" spans="1:9" s="6" customFormat="1" ht="12.75" x14ac:dyDescent="0.2">
      <c r="A133" s="24" t="s">
        <v>468</v>
      </c>
      <c r="B133" s="20">
        <f>INDEX('Raw Data'!$C$2:$LO$71,$B$1,14)</f>
        <v>10963521</v>
      </c>
      <c r="C133" s="36">
        <f>B133/B$128</f>
        <v>8.1295537620964559E-2</v>
      </c>
      <c r="D133" s="14"/>
      <c r="F133" s="24" t="s">
        <v>473</v>
      </c>
      <c r="G133" s="20">
        <f>INDEX('Raw Data'!$C$2:$LO$71,$B$1,264)</f>
        <v>586823</v>
      </c>
      <c r="H133" s="21">
        <f t="shared" si="13"/>
        <v>7.7227703592108203E-3</v>
      </c>
      <c r="I133" s="14"/>
    </row>
    <row r="134" spans="1:9" s="6" customFormat="1" ht="12.75" x14ac:dyDescent="0.2">
      <c r="A134" s="24" t="s">
        <v>469</v>
      </c>
      <c r="B134" s="20">
        <f>INDEX('Raw Data'!$C$2:$LO$71,$B$1,16)</f>
        <v>4649298</v>
      </c>
      <c r="C134" s="36">
        <f>B134/B$128</f>
        <v>3.4474981209966699E-2</v>
      </c>
      <c r="D134" s="14"/>
      <c r="F134" s="24" t="s">
        <v>639</v>
      </c>
      <c r="G134" s="20">
        <f>INDEX('Raw Data'!$C$2:$LO$71,$B$1,265)</f>
        <v>463352</v>
      </c>
      <c r="H134" s="21">
        <f t="shared" si="13"/>
        <v>6.0978541936513265E-3</v>
      </c>
      <c r="I134" s="14"/>
    </row>
    <row r="135" spans="1:9" s="6" customFormat="1" ht="13.5" thickBot="1" x14ac:dyDescent="0.25">
      <c r="F135" s="27" t="s">
        <v>640</v>
      </c>
      <c r="G135" s="20">
        <f>INDEX('Raw Data'!$C$2:$LO$71,$B$1,266)</f>
        <v>501132</v>
      </c>
      <c r="H135" s="21">
        <f t="shared" si="13"/>
        <v>6.5950505615015717E-3</v>
      </c>
      <c r="I135" s="14"/>
    </row>
    <row r="136" spans="1:9" s="6" customFormat="1" ht="13.5" thickTop="1" x14ac:dyDescent="0.2">
      <c r="A136" s="22" t="s">
        <v>645</v>
      </c>
      <c r="B136" s="23"/>
      <c r="C136" s="23"/>
      <c r="D136" s="23"/>
      <c r="F136" s="24" t="s">
        <v>641</v>
      </c>
      <c r="G136" s="20">
        <f>INDEX('Raw Data'!$C$2:$LO$71,$B$1,267)</f>
        <v>882083</v>
      </c>
      <c r="H136" s="21">
        <f t="shared" si="13"/>
        <v>1.1608482364808057E-2</v>
      </c>
      <c r="I136" s="14"/>
    </row>
    <row r="137" spans="1:9" s="6" customFormat="1" ht="12.75" x14ac:dyDescent="0.2">
      <c r="A137" s="24" t="s">
        <v>470</v>
      </c>
      <c r="B137" s="20">
        <f>G129+G141</f>
        <v>73442167</v>
      </c>
      <c r="C137" s="21">
        <f>B137/SUM(B$137:B$146)</f>
        <v>0.62923663647573724</v>
      </c>
      <c r="D137" s="14"/>
      <c r="F137" s="24" t="s">
        <v>642</v>
      </c>
      <c r="G137" s="20">
        <f>INDEX('Raw Data'!$C$2:$LO$71,$B$1,268)</f>
        <v>5130094</v>
      </c>
      <c r="H137" s="21">
        <f t="shared" si="13"/>
        <v>6.7513607822401775E-2</v>
      </c>
      <c r="I137" s="14"/>
    </row>
    <row r="138" spans="1:9" s="6" customFormat="1" ht="12.75" x14ac:dyDescent="0.2">
      <c r="A138" s="24" t="s">
        <v>471</v>
      </c>
      <c r="B138" s="20">
        <f t="shared" ref="B138:B146" si="14">G130+G142</f>
        <v>6938978</v>
      </c>
      <c r="C138" s="21">
        <f t="shared" ref="C138:C146" si="15">B138/SUM(B$137:B$146)</f>
        <v>5.9451665925096389E-2</v>
      </c>
      <c r="D138" s="14"/>
      <c r="F138" s="24" t="s">
        <v>496</v>
      </c>
      <c r="G138" s="20">
        <f>INDEX('Raw Data'!$C$2:$LO$71,$B$1,269)</f>
        <v>76906</v>
      </c>
      <c r="H138" s="21">
        <f t="shared" si="13"/>
        <v>1.0121065078319482E-3</v>
      </c>
      <c r="I138" s="14"/>
    </row>
    <row r="139" spans="1:9" s="6" customFormat="1" ht="13.5" thickBot="1" x14ac:dyDescent="0.25">
      <c r="A139" s="24" t="s">
        <v>472</v>
      </c>
      <c r="B139" s="20">
        <f t="shared" si="14"/>
        <v>4275531</v>
      </c>
      <c r="C139" s="21">
        <f t="shared" si="15"/>
        <v>3.6631826857556442E-2</v>
      </c>
      <c r="D139" s="14"/>
    </row>
    <row r="140" spans="1:9" s="6" customFormat="1" ht="13.5" thickTop="1" x14ac:dyDescent="0.2">
      <c r="A140" s="24" t="s">
        <v>619</v>
      </c>
      <c r="B140" s="20">
        <f t="shared" si="14"/>
        <v>4972833</v>
      </c>
      <c r="C140" s="21">
        <f t="shared" si="15"/>
        <v>4.2606159900967382E-2</v>
      </c>
      <c r="D140" s="14"/>
      <c r="F140" s="22" t="s">
        <v>643</v>
      </c>
      <c r="G140" s="23"/>
      <c r="H140" s="23"/>
      <c r="I140" s="23"/>
    </row>
    <row r="141" spans="1:9" s="6" customFormat="1" ht="12.75" x14ac:dyDescent="0.2">
      <c r="A141" s="24" t="s">
        <v>473</v>
      </c>
      <c r="B141" s="20">
        <f t="shared" si="14"/>
        <v>5380859</v>
      </c>
      <c r="C141" s="21">
        <f t="shared" si="15"/>
        <v>4.6102038608286149E-2</v>
      </c>
      <c r="D141" s="14"/>
      <c r="F141" s="24" t="s">
        <v>470</v>
      </c>
      <c r="G141" s="20">
        <f>INDEX('Raw Data'!$C$2:$LO$71,$B$1,270)</f>
        <v>11168294</v>
      </c>
      <c r="H141" s="21">
        <f>G141/SUM(G$141:G$150)</f>
        <v>0.27420167503154536</v>
      </c>
      <c r="I141" s="14"/>
    </row>
    <row r="142" spans="1:9" s="6" customFormat="1" ht="12.75" x14ac:dyDescent="0.2">
      <c r="A142" s="24" t="s">
        <v>639</v>
      </c>
      <c r="B142" s="20">
        <f t="shared" si="14"/>
        <v>4960040</v>
      </c>
      <c r="C142" s="21">
        <f t="shared" si="15"/>
        <v>4.2496552237968631E-2</v>
      </c>
      <c r="D142" s="14"/>
      <c r="F142" s="24" t="s">
        <v>471</v>
      </c>
      <c r="G142" s="20">
        <f>INDEX('Raw Data'!$C$2:$LO$71,$B$1,271)</f>
        <v>2472381</v>
      </c>
      <c r="H142" s="21">
        <f t="shared" ref="H142:H150" si="16">G142/SUM(G$141:G$150)</f>
        <v>6.070139374161955E-2</v>
      </c>
      <c r="I142" s="14"/>
    </row>
    <row r="143" spans="1:9" s="6" customFormat="1" ht="12.75" x14ac:dyDescent="0.2">
      <c r="A143" s="27" t="s">
        <v>640</v>
      </c>
      <c r="B143" s="20">
        <f t="shared" si="14"/>
        <v>4002940</v>
      </c>
      <c r="C143" s="21">
        <f t="shared" si="15"/>
        <v>3.4296326000486717E-2</v>
      </c>
      <c r="D143" s="14"/>
      <c r="F143" s="24" t="s">
        <v>472</v>
      </c>
      <c r="G143" s="20">
        <f>INDEX('Raw Data'!$C$2:$LO$71,$B$1,272)</f>
        <v>3322506</v>
      </c>
      <c r="H143" s="21">
        <f t="shared" si="16"/>
        <v>8.1573489245748698E-2</v>
      </c>
      <c r="I143" s="14"/>
    </row>
    <row r="144" spans="1:9" s="6" customFormat="1" ht="12.75" x14ac:dyDescent="0.2">
      <c r="A144" s="24" t="s">
        <v>641</v>
      </c>
      <c r="B144" s="20">
        <f t="shared" si="14"/>
        <v>5609234</v>
      </c>
      <c r="C144" s="21">
        <f t="shared" si="15"/>
        <v>4.8058706320108252E-2</v>
      </c>
      <c r="D144" s="14"/>
      <c r="F144" s="24" t="s">
        <v>619</v>
      </c>
      <c r="G144" s="20">
        <f>INDEX('Raw Data'!$C$2:$LO$71,$B$1,273)</f>
        <v>4320644</v>
      </c>
      <c r="H144" s="21">
        <f t="shared" si="16"/>
        <v>0.10607956971897375</v>
      </c>
      <c r="I144" s="14"/>
    </row>
    <row r="145" spans="1:9" s="6" customFormat="1" ht="12.75" x14ac:dyDescent="0.2">
      <c r="A145" s="24" t="s">
        <v>642</v>
      </c>
      <c r="B145" s="20">
        <f t="shared" si="14"/>
        <v>7021013</v>
      </c>
      <c r="C145" s="21">
        <f t="shared" si="15"/>
        <v>6.0154524100200168E-2</v>
      </c>
      <c r="D145" s="14"/>
      <c r="F145" s="24" t="s">
        <v>473</v>
      </c>
      <c r="G145" s="20">
        <f>INDEX('Raw Data'!$C$2:$LO$71,$B$1,274)</f>
        <v>4794036</v>
      </c>
      <c r="H145" s="21">
        <f t="shared" si="16"/>
        <v>0.11770219349181976</v>
      </c>
      <c r="I145" s="14"/>
    </row>
    <row r="146" spans="1:9" s="6" customFormat="1" ht="12.75" x14ac:dyDescent="0.2">
      <c r="A146" s="24" t="s">
        <v>496</v>
      </c>
      <c r="B146" s="20">
        <f t="shared" si="14"/>
        <v>112697</v>
      </c>
      <c r="C146" s="21">
        <f t="shared" si="15"/>
        <v>9.655635735926223E-4</v>
      </c>
      <c r="D146" s="14"/>
      <c r="F146" s="24" t="s">
        <v>639</v>
      </c>
      <c r="G146" s="20">
        <f>INDEX('Raw Data'!$C$2:$LO$71,$B$1,275)</f>
        <v>4496688</v>
      </c>
      <c r="H146" s="21">
        <f t="shared" si="16"/>
        <v>0.11040176607942535</v>
      </c>
      <c r="I146" s="14"/>
    </row>
    <row r="147" spans="1:9" s="6" customFormat="1" ht="13.5" thickBot="1" x14ac:dyDescent="0.25">
      <c r="F147" s="27" t="s">
        <v>640</v>
      </c>
      <c r="G147" s="20">
        <f>INDEX('Raw Data'!$C$2:$LO$71,$B$1,276)</f>
        <v>3501808</v>
      </c>
      <c r="H147" s="21">
        <f t="shared" si="16"/>
        <v>8.5975675357298609E-2</v>
      </c>
      <c r="I147" s="14"/>
    </row>
    <row r="148" spans="1:9" s="6" customFormat="1" ht="13.5" thickTop="1" x14ac:dyDescent="0.2">
      <c r="A148" s="22" t="s">
        <v>646</v>
      </c>
      <c r="B148" s="23"/>
      <c r="C148" s="23"/>
      <c r="D148" s="23"/>
      <c r="F148" s="24" t="s">
        <v>641</v>
      </c>
      <c r="G148" s="20">
        <f>INDEX('Raw Data'!$C$2:$LO$71,$B$1,277)</f>
        <v>4727151</v>
      </c>
      <c r="H148" s="21">
        <f t="shared" si="16"/>
        <v>0.1160600466218963</v>
      </c>
      <c r="I148" s="14"/>
    </row>
    <row r="149" spans="1:9" s="6" customFormat="1" ht="12.75" x14ac:dyDescent="0.2">
      <c r="A149" s="24" t="s">
        <v>647</v>
      </c>
      <c r="B149" s="20">
        <f>INDEX('Raw Data'!$C$2:$LO$71,$B$1,280)</f>
        <v>7893229</v>
      </c>
      <c r="C149" s="21">
        <f>B149/SUM(B$149:B$157)</f>
        <v>6.7627482545453033E-2</v>
      </c>
      <c r="D149" s="14"/>
      <c r="F149" s="24" t="s">
        <v>642</v>
      </c>
      <c r="G149" s="20">
        <f>INDEX('Raw Data'!$C$2:$LO$71,$B$1,278)</f>
        <v>1890919</v>
      </c>
      <c r="H149" s="21">
        <f t="shared" si="16"/>
        <v>4.6425457383999273E-2</v>
      </c>
      <c r="I149" s="14"/>
    </row>
    <row r="150" spans="1:9" s="6" customFormat="1" ht="12.75" x14ac:dyDescent="0.2">
      <c r="A150" s="27" t="s">
        <v>648</v>
      </c>
      <c r="B150" s="20">
        <f>INDEX('Raw Data'!$C$2:$LO$71,$B$1,281)</f>
        <v>9401885</v>
      </c>
      <c r="C150" s="21">
        <f t="shared" ref="C150:C157" si="17">B150/SUM(B$149:B$157)</f>
        <v>8.0553321553429744E-2</v>
      </c>
      <c r="D150" s="14"/>
      <c r="F150" s="24" t="s">
        <v>496</v>
      </c>
      <c r="G150" s="20">
        <f>INDEX('Raw Data'!$C$2:$LO$71,$B$1,279)</f>
        <v>35791</v>
      </c>
      <c r="H150" s="21">
        <f t="shared" si="16"/>
        <v>8.78733327673326E-4</v>
      </c>
      <c r="I150" s="14"/>
    </row>
    <row r="151" spans="1:9" s="6" customFormat="1" ht="13.5" thickBot="1" x14ac:dyDescent="0.25">
      <c r="A151" s="27" t="s">
        <v>649</v>
      </c>
      <c r="B151" s="20">
        <f>INDEX('Raw Data'!$C$2:$LO$71,$B$1,282)</f>
        <v>16514145</v>
      </c>
      <c r="C151" s="21">
        <f t="shared" si="17"/>
        <v>0.14148963025658834</v>
      </c>
      <c r="D151" s="14"/>
    </row>
    <row r="152" spans="1:9" s="6" customFormat="1" ht="13.5" thickTop="1" x14ac:dyDescent="0.2">
      <c r="A152" s="27" t="s">
        <v>650</v>
      </c>
      <c r="B152" s="20">
        <f>INDEX('Raw Data'!$C$2:$LO$71,$B$1,283)</f>
        <v>16232452</v>
      </c>
      <c r="C152" s="21">
        <f t="shared" si="17"/>
        <v>0.13907614542792363</v>
      </c>
      <c r="D152" s="14"/>
      <c r="F152" s="22" t="s">
        <v>656</v>
      </c>
      <c r="G152" s="23"/>
      <c r="H152" s="23"/>
      <c r="I152" s="23"/>
    </row>
    <row r="153" spans="1:9" s="6" customFormat="1" ht="12.75" x14ac:dyDescent="0.2">
      <c r="A153" s="27" t="s">
        <v>651</v>
      </c>
      <c r="B153" s="20">
        <f>INDEX('Raw Data'!$C$2:$LO$71,$B$1,284)</f>
        <v>18656108</v>
      </c>
      <c r="C153" s="21">
        <f t="shared" si="17"/>
        <v>0.15984150695945687</v>
      </c>
      <c r="D153" s="14"/>
      <c r="F153" s="24" t="s">
        <v>617</v>
      </c>
      <c r="G153" s="20">
        <f>INDEX('Raw Data'!$C$2:$LO$71,$B$1,212)</f>
        <v>1066273</v>
      </c>
      <c r="H153" s="21">
        <f>G153/SUM(G$153:G$168)</f>
        <v>1.4032479161905377E-2</v>
      </c>
      <c r="I153" s="14"/>
    </row>
    <row r="154" spans="1:9" s="6" customFormat="1" ht="12.75" x14ac:dyDescent="0.2">
      <c r="A154" s="27" t="s">
        <v>652</v>
      </c>
      <c r="B154" s="20">
        <f>INDEX('Raw Data'!$C$2:$LO$71,$B$1,285)</f>
        <v>13132670</v>
      </c>
      <c r="C154" s="21">
        <f t="shared" si="17"/>
        <v>0.11251788225074869</v>
      </c>
      <c r="D154" s="14"/>
      <c r="F154" s="24" t="s">
        <v>676</v>
      </c>
      <c r="G154" s="20">
        <f>INDEX('Raw Data'!$C$2:$LO$71,$B$1,213)+INDEX('Raw Data'!$C$2:$LO$71,$B$1,214)+INDEX('Raw Data'!$C$2:$LO$71,$B$1,215)</f>
        <v>2149034</v>
      </c>
      <c r="H154" s="21">
        <f t="shared" ref="H154:H168" si="18">G154/SUM(G$153:G$168)</f>
        <v>2.8281945452268004E-2</v>
      </c>
      <c r="I154" s="14"/>
    </row>
    <row r="155" spans="1:9" s="6" customFormat="1" ht="12.75" x14ac:dyDescent="0.2">
      <c r="A155" s="27" t="s">
        <v>653</v>
      </c>
      <c r="B155" s="20">
        <f>INDEX('Raw Data'!$C$2:$LO$71,$B$1,286)</f>
        <v>13057719</v>
      </c>
      <c r="C155" s="21">
        <f t="shared" si="17"/>
        <v>0.11187571825876716</v>
      </c>
      <c r="D155" s="14"/>
      <c r="F155" s="24" t="s">
        <v>663</v>
      </c>
      <c r="G155" s="20">
        <f>SUM(INDEX('Raw Data'!$C$2:$LO$71,$B$1,216):INDEX('Raw Data'!$C$2:$LO$71,$B$1,219))</f>
        <v>3330871</v>
      </c>
      <c r="H155" s="21">
        <f t="shared" si="18"/>
        <v>4.383528223869021E-2</v>
      </c>
      <c r="I155" s="14"/>
    </row>
    <row r="156" spans="1:9" s="6" customFormat="1" ht="12.75" x14ac:dyDescent="0.2">
      <c r="A156" s="27" t="s">
        <v>654</v>
      </c>
      <c r="B156" s="20">
        <f>INDEX('Raw Data'!$C$2:$LO$71,$B$1,287)</f>
        <v>6421795</v>
      </c>
      <c r="C156" s="21">
        <f t="shared" si="17"/>
        <v>5.5020553600177768E-2</v>
      </c>
      <c r="D156" s="14"/>
      <c r="F156" s="24" t="s">
        <v>682</v>
      </c>
      <c r="G156" s="20">
        <f>SUM(INDEX('Raw Data'!$C$2:$LO$71,$B$1,220):INDEX('Raw Data'!$C$2:$LO$71,$B$1,221))</f>
        <v>3743429</v>
      </c>
      <c r="H156" s="21">
        <f t="shared" si="18"/>
        <v>4.9264671839737373E-2</v>
      </c>
      <c r="I156" s="14"/>
    </row>
    <row r="157" spans="1:9" s="6" customFormat="1" ht="12.75" x14ac:dyDescent="0.2">
      <c r="A157" s="27" t="s">
        <v>655</v>
      </c>
      <c r="B157" s="20">
        <f>INDEX('Raw Data'!$C$2:$LO$71,$B$1,288)</f>
        <v>15406289</v>
      </c>
      <c r="C157" s="21">
        <f t="shared" si="17"/>
        <v>0.13199775914745476</v>
      </c>
      <c r="D157" s="14"/>
      <c r="F157" s="24" t="s">
        <v>683</v>
      </c>
      <c r="G157" s="20">
        <f>SUM(INDEX('Raw Data'!$C$2:$LO$71,$B$1,222):INDEX('Raw Data'!$C$2:$LO$71,$B$1,224))</f>
        <v>7807881</v>
      </c>
      <c r="H157" s="21">
        <f t="shared" si="18"/>
        <v>0.10275410465343952</v>
      </c>
      <c r="I157" s="14"/>
    </row>
    <row r="158" spans="1:9" s="6" customFormat="1" ht="13.5" thickBot="1" x14ac:dyDescent="0.25">
      <c r="F158" s="24" t="s">
        <v>664</v>
      </c>
      <c r="G158" s="20">
        <f>INDEX('Raw Data'!$C$2:$LO$71,$B$1,225)</f>
        <v>6495359</v>
      </c>
      <c r="H158" s="21">
        <f t="shared" si="18"/>
        <v>8.5480913252604679E-2</v>
      </c>
      <c r="I158" s="14"/>
    </row>
    <row r="159" spans="1:9" s="6" customFormat="1" ht="13.5" thickTop="1" x14ac:dyDescent="0.2">
      <c r="A159" s="22" t="s">
        <v>657</v>
      </c>
      <c r="B159" s="23"/>
      <c r="C159" s="23"/>
      <c r="D159" s="23"/>
      <c r="F159" s="24" t="s">
        <v>665</v>
      </c>
      <c r="G159" s="20">
        <f>INDEX('Raw Data'!$C$2:$LO$71,$B$1,226)</f>
        <v>5682026</v>
      </c>
      <c r="H159" s="21">
        <f t="shared" si="18"/>
        <v>7.4777201938344653E-2</v>
      </c>
      <c r="I159" s="14"/>
    </row>
    <row r="160" spans="1:9" s="6" customFormat="1" ht="12.75" x14ac:dyDescent="0.2">
      <c r="A160" s="24" t="s">
        <v>658</v>
      </c>
      <c r="B160" s="20">
        <f>INDEX('Raw Data'!$C$2:$LO$71,$B$1,258)</f>
        <v>2235198</v>
      </c>
      <c r="C160" s="21">
        <f>B160/SUM(B$160:B$168)</f>
        <v>5.4878125130584862E-2</v>
      </c>
      <c r="D160" s="14"/>
      <c r="F160" s="24" t="s">
        <v>666</v>
      </c>
      <c r="G160" s="20">
        <f>INDEX('Raw Data'!$C$2:$LO$71,$B$1,227)</f>
        <v>6829409</v>
      </c>
      <c r="H160" s="21">
        <f t="shared" si="18"/>
        <v>8.9877113535303851E-2</v>
      </c>
      <c r="I160" s="14"/>
    </row>
    <row r="161" spans="1:9" s="6" customFormat="1" ht="12.75" x14ac:dyDescent="0.2">
      <c r="A161" s="24" t="s">
        <v>660</v>
      </c>
      <c r="B161" s="20">
        <f>SUM(INDEX('Raw Data'!$C$2:$LO$71,$B$1,237):INDEX('Raw Data'!$C$2:$LO$71,$B$1,240))</f>
        <v>2589037</v>
      </c>
      <c r="C161" s="21">
        <f t="shared" ref="C161:C168" si="19">B161/SUM(B$160:B$168)</f>
        <v>6.3565508046139113E-2</v>
      </c>
      <c r="D161" s="14"/>
      <c r="F161" s="24" t="s">
        <v>667</v>
      </c>
      <c r="G161" s="20">
        <f>INDEX('Raw Data'!$C$2:$LO$71,$B$1,228)</f>
        <v>4715784</v>
      </c>
      <c r="H161" s="21">
        <f t="shared" si="18"/>
        <v>6.2061161364910099E-2</v>
      </c>
      <c r="I161" s="14"/>
    </row>
    <row r="162" spans="1:9" s="6" customFormat="1" ht="12.75" x14ac:dyDescent="0.2">
      <c r="A162" s="27" t="s">
        <v>659</v>
      </c>
      <c r="B162" s="20">
        <f>SUM(INDEX('Raw Data'!$C$2:$LO$71,$B$1,241):INDEX('Raw Data'!$C$2:$LO$71,$B$1,245))</f>
        <v>7069652</v>
      </c>
      <c r="C162" s="21">
        <f t="shared" si="19"/>
        <v>0.17357265310978695</v>
      </c>
      <c r="D162" s="14"/>
      <c r="F162" s="24" t="s">
        <v>668</v>
      </c>
      <c r="G162" s="20">
        <f>INDEX('Raw Data'!$C$2:$LO$71,$B$1,229)</f>
        <v>8062061</v>
      </c>
      <c r="H162" s="21">
        <f t="shared" si="18"/>
        <v>0.1060991912807602</v>
      </c>
      <c r="I162" s="14"/>
    </row>
    <row r="163" spans="1:9" s="6" customFormat="1" ht="12.75" x14ac:dyDescent="0.2">
      <c r="A163" s="24" t="s">
        <v>677</v>
      </c>
      <c r="B163" s="20">
        <f>SUM(INDEX('Raw Data'!$C$2:$LO$71,$B$1,246):INDEX('Raw Data'!$C$2:LO$71,$B$1,250))</f>
        <v>11103165</v>
      </c>
      <c r="C163" s="21">
        <f t="shared" si="19"/>
        <v>0.27260264111525256</v>
      </c>
      <c r="D163" s="14"/>
      <c r="F163" s="24" t="s">
        <v>669</v>
      </c>
      <c r="G163" s="20">
        <f>INDEX('Raw Data'!$C$2:$LO$71,$B$1,230)</f>
        <v>6086632</v>
      </c>
      <c r="H163" s="21">
        <f t="shared" si="18"/>
        <v>8.0101940784570599E-2</v>
      </c>
      <c r="I163" s="14"/>
    </row>
    <row r="164" spans="1:9" s="6" customFormat="1" ht="12.75" x14ac:dyDescent="0.2">
      <c r="A164" s="27" t="s">
        <v>661</v>
      </c>
      <c r="B164" s="20">
        <f>SUM(INDEX('Raw Data'!$C$2:$LO$71,$B$1,251):INDEX('Raw Data'!$C$2:LO$71,$B$1,253))</f>
        <v>7734861</v>
      </c>
      <c r="C164" s="21">
        <f t="shared" si="19"/>
        <v>0.1899047287200869</v>
      </c>
      <c r="D164" s="14"/>
      <c r="F164" s="24" t="s">
        <v>670</v>
      </c>
      <c r="G164" s="20">
        <f>INDEX('Raw Data'!$C$2:$LO$71,$B$1,231)</f>
        <v>7862444</v>
      </c>
      <c r="H164" s="21">
        <f t="shared" si="18"/>
        <v>0.10347217044007301</v>
      </c>
      <c r="I164" s="14"/>
    </row>
    <row r="165" spans="1:9" s="6" customFormat="1" ht="12.75" x14ac:dyDescent="0.2">
      <c r="A165" s="24" t="s">
        <v>681</v>
      </c>
      <c r="B165" s="20">
        <f>INDEX('Raw Data'!$C$2:$LO$71,$B$1,254)</f>
        <v>4308791</v>
      </c>
      <c r="C165" s="21">
        <f t="shared" si="19"/>
        <v>0.10578855728196691</v>
      </c>
      <c r="D165" s="14"/>
      <c r="F165" s="24" t="s">
        <v>671</v>
      </c>
      <c r="G165" s="20">
        <f>INDEX('Raw Data'!$C$2:$LO$71,$B$1,232)</f>
        <v>4218785</v>
      </c>
      <c r="H165" s="21">
        <f t="shared" si="18"/>
        <v>5.5520502348890929E-2</v>
      </c>
      <c r="I165" s="14"/>
    </row>
    <row r="166" spans="1:9" s="6" customFormat="1" ht="12.75" x14ac:dyDescent="0.2">
      <c r="A166" s="27" t="s">
        <v>678</v>
      </c>
      <c r="B166" s="20">
        <f>INDEX('Raw Data'!$C$2:$LO$71,$B$1,255)</f>
        <v>2215611</v>
      </c>
      <c r="C166" s="21">
        <f t="shared" si="19"/>
        <v>5.4397229103954219E-2</v>
      </c>
      <c r="D166" s="14"/>
      <c r="F166" s="24" t="s">
        <v>672</v>
      </c>
      <c r="G166" s="20">
        <f>INDEX('Raw Data'!$C$2:$LO$71,$B$1,233)</f>
        <v>4688608</v>
      </c>
      <c r="H166" s="21">
        <f t="shared" si="18"/>
        <v>6.1703516883896387E-2</v>
      </c>
      <c r="I166" s="14"/>
    </row>
    <row r="167" spans="1:9" s="6" customFormat="1" ht="12.75" x14ac:dyDescent="0.2">
      <c r="A167" s="24" t="s">
        <v>679</v>
      </c>
      <c r="B167" s="20">
        <f>INDEX('Raw Data'!$C$2:$LO$71,$B$1,256)</f>
        <v>2211704</v>
      </c>
      <c r="C167" s="21">
        <f t="shared" si="19"/>
        <v>5.4301305237305628E-2</v>
      </c>
      <c r="D167" s="14"/>
      <c r="F167" s="24" t="s">
        <v>673</v>
      </c>
      <c r="G167" s="20">
        <f>INDEX('Raw Data'!$C$2:$LO$71,$B$1,234)</f>
        <v>1665455</v>
      </c>
      <c r="H167" s="21">
        <f t="shared" si="18"/>
        <v>2.1917897745315808E-2</v>
      </c>
      <c r="I167" s="14"/>
    </row>
    <row r="168" spans="1:9" s="6" customFormat="1" ht="12.75" x14ac:dyDescent="0.2">
      <c r="A168" s="24" t="s">
        <v>680</v>
      </c>
      <c r="B168" s="20">
        <f>INDEX('Raw Data'!$C$2:$LO$71,$B$1,257)</f>
        <v>1262199</v>
      </c>
      <c r="C168" s="21">
        <f t="shared" si="19"/>
        <v>3.0989252254922869E-2</v>
      </c>
      <c r="D168" s="14"/>
      <c r="F168" s="24" t="s">
        <v>674</v>
      </c>
      <c r="G168" s="20">
        <f>INDEX('Raw Data'!$C$2:$LO$71,$B$1,235)</f>
        <v>1582023</v>
      </c>
      <c r="H168" s="21">
        <f t="shared" si="18"/>
        <v>2.0819907079289292E-2</v>
      </c>
      <c r="I168" s="14"/>
    </row>
    <row r="169" spans="1:9" s="6" customFormat="1" ht="12.75" x14ac:dyDescent="0.2">
      <c r="A169" s="24"/>
      <c r="B169" s="14"/>
      <c r="C169" s="14"/>
      <c r="D169" s="14"/>
      <c r="F169" s="24"/>
      <c r="G169" s="14"/>
      <c r="H169" s="14"/>
      <c r="I169" s="14"/>
    </row>
    <row r="170" spans="1:9" s="6" customFormat="1" ht="12.75" x14ac:dyDescent="0.2">
      <c r="A170" s="24" t="s">
        <v>662</v>
      </c>
      <c r="B170" s="37">
        <f>INDEX('Raw Data'!$C$2:$LO$71,$B$1,259)</f>
        <v>712</v>
      </c>
      <c r="C170" s="14"/>
      <c r="D170" s="14"/>
      <c r="F170" s="24" t="s">
        <v>675</v>
      </c>
      <c r="G170" s="35">
        <f>INDEX('Raw Data'!$C$2:$LO$71,$B$1,236)</f>
        <v>179711</v>
      </c>
      <c r="H170" s="14"/>
      <c r="I170" s="14"/>
    </row>
    <row r="171" spans="1:9" s="6" customFormat="1" ht="12.75" x14ac:dyDescent="0.2"/>
    <row r="172" spans="1:9" s="6" customFormat="1" ht="12.75" x14ac:dyDescent="0.2"/>
    <row r="173" spans="1:9" s="6" customFormat="1" ht="12.75" x14ac:dyDescent="0.2"/>
    <row r="174" spans="1:9" s="6" customFormat="1" ht="12.75" x14ac:dyDescent="0.2"/>
    <row r="175" spans="1:9" s="6" customFormat="1" ht="12.75" x14ac:dyDescent="0.2"/>
    <row r="176" spans="1:9" s="6" customFormat="1" ht="12.75" x14ac:dyDescent="0.2"/>
    <row r="177" spans="1:9" s="6" customFormat="1" ht="12.75" x14ac:dyDescent="0.2"/>
    <row r="178" spans="1:9" s="6" customFormat="1" ht="12.75" x14ac:dyDescent="0.2"/>
    <row r="179" spans="1:9" s="6" customFormat="1" ht="12.75" x14ac:dyDescent="0.2"/>
    <row r="180" spans="1:9" s="6" customFormat="1" ht="12.75" x14ac:dyDescent="0.2"/>
    <row r="181" spans="1:9" s="6" customFormat="1" ht="12.75" x14ac:dyDescent="0.2"/>
    <row r="182" spans="1:9" s="6" customFormat="1" ht="12.75" x14ac:dyDescent="0.2"/>
    <row r="183" spans="1:9" s="6" customFormat="1" ht="12.75" x14ac:dyDescent="0.2"/>
    <row r="184" spans="1:9" s="6" customFormat="1" ht="18.75" x14ac:dyDescent="0.3">
      <c r="A184" s="7"/>
      <c r="B184" s="78">
        <v>1</v>
      </c>
      <c r="C184" s="78"/>
      <c r="D184" s="78"/>
      <c r="E184" s="78"/>
      <c r="F184" s="78"/>
      <c r="G184" s="78"/>
      <c r="H184" s="8"/>
      <c r="I184" s="8"/>
    </row>
    <row r="185" spans="1:9" s="6" customFormat="1" ht="18.75" x14ac:dyDescent="0.3">
      <c r="A185" s="9"/>
      <c r="B185" s="79">
        <f>INDEX('Raw Data'!$B$2:$IV$71,$B$1,1)</f>
        <v>0</v>
      </c>
      <c r="C185" s="79"/>
      <c r="D185" s="79"/>
      <c r="E185" s="79"/>
      <c r="F185" s="79"/>
      <c r="G185" s="79"/>
      <c r="H185" s="11"/>
      <c r="I185" s="11"/>
    </row>
    <row r="186" spans="1:9" s="6" customFormat="1" ht="12.75" x14ac:dyDescent="0.2"/>
    <row r="187" spans="1:9" s="6" customFormat="1" ht="13.5" thickBot="1" x14ac:dyDescent="0.25">
      <c r="C187" s="13"/>
      <c r="D187" s="13" t="s">
        <v>465</v>
      </c>
      <c r="H187" s="13"/>
      <c r="I187" s="13" t="s">
        <v>465</v>
      </c>
    </row>
    <row r="188" spans="1:9" s="6" customFormat="1" ht="13.5" thickTop="1" x14ac:dyDescent="0.2">
      <c r="A188" s="28" t="s">
        <v>684</v>
      </c>
      <c r="B188" s="38"/>
      <c r="C188" s="32"/>
      <c r="D188" s="29">
        <f>INDEX('Raw Data'!$C$2:$LO$71,$B$1,170)</f>
        <v>100</v>
      </c>
      <c r="F188" s="28" t="s">
        <v>694</v>
      </c>
      <c r="G188" s="38"/>
      <c r="H188" s="23"/>
      <c r="I188" s="29">
        <f>INDEX('Raw Data'!$C$2:$LO$71,$B$1,206)</f>
        <v>100</v>
      </c>
    </row>
    <row r="189" spans="1:9" s="6" customFormat="1" ht="12.75" x14ac:dyDescent="0.2">
      <c r="A189" s="24" t="s">
        <v>688</v>
      </c>
      <c r="B189" s="14"/>
      <c r="C189" s="14"/>
      <c r="D189" s="20">
        <f>INDEX('Raw Data'!$C$2:$LO$71,$B$1,171)</f>
        <v>100</v>
      </c>
      <c r="F189" s="24" t="s">
        <v>695</v>
      </c>
      <c r="G189" s="14"/>
      <c r="H189" s="14"/>
      <c r="I189" s="20">
        <f>INDEX('Raw Data'!$C$2:$LO$71,$B$1,207)</f>
        <v>100</v>
      </c>
    </row>
    <row r="190" spans="1:9" s="6" customFormat="1" ht="12.75" x14ac:dyDescent="0.2">
      <c r="A190" s="24" t="s">
        <v>685</v>
      </c>
      <c r="B190" s="14"/>
      <c r="C190" s="14"/>
      <c r="D190" s="20">
        <f>INDEX('Raw Data'!$C$2:$LO$71,$B$1,172)</f>
        <v>100</v>
      </c>
      <c r="F190" s="24" t="s">
        <v>696</v>
      </c>
      <c r="G190" s="14"/>
      <c r="H190" s="14"/>
      <c r="I190" s="20">
        <f>INDEX('Raw Data'!$C$2:$LO$71,$B$1,208)</f>
        <v>100</v>
      </c>
    </row>
    <row r="191" spans="1:9" s="6" customFormat="1" ht="12.75" x14ac:dyDescent="0.2">
      <c r="A191" s="24" t="s">
        <v>686</v>
      </c>
      <c r="B191" s="14"/>
      <c r="C191" s="14"/>
      <c r="D191" s="20">
        <f>INDEX('Raw Data'!$C$2:$LO$71,$B$1,173)</f>
        <v>100</v>
      </c>
      <c r="F191" s="24" t="s">
        <v>697</v>
      </c>
      <c r="G191" s="14"/>
      <c r="H191" s="14"/>
      <c r="I191" s="20">
        <f>INDEX('Raw Data'!$C$2:$LO$71,$B$1,209)</f>
        <v>100</v>
      </c>
    </row>
    <row r="192" spans="1:9" s="6" customFormat="1" ht="12.75" x14ac:dyDescent="0.2">
      <c r="A192" s="24" t="s">
        <v>690</v>
      </c>
      <c r="B192" s="14"/>
      <c r="C192" s="14"/>
      <c r="D192" s="20">
        <f>INDEX('Raw Data'!$C$2:$LO$71,$B$1,174)</f>
        <v>100</v>
      </c>
      <c r="F192" s="24" t="s">
        <v>698</v>
      </c>
      <c r="G192" s="14"/>
      <c r="H192" s="14"/>
      <c r="I192" s="20">
        <f>INDEX('Raw Data'!$C$2:$LO$71,$B$1,210)</f>
        <v>102</v>
      </c>
    </row>
    <row r="193" spans="1:9" s="6" customFormat="1" ht="12.75" x14ac:dyDescent="0.2">
      <c r="A193" s="24" t="s">
        <v>687</v>
      </c>
      <c r="B193" s="14"/>
      <c r="C193" s="14"/>
      <c r="D193" s="20">
        <f>INDEX('Raw Data'!$C$2:$LO$71,$B$1,175)</f>
        <v>100</v>
      </c>
      <c r="F193" s="24" t="s">
        <v>699</v>
      </c>
      <c r="G193" s="14"/>
      <c r="H193" s="14"/>
      <c r="I193" s="20">
        <f>INDEX('Raw Data'!$C$2:$LO$71,$B$1,211)</f>
        <v>99</v>
      </c>
    </row>
    <row r="194" spans="1:9" s="6" customFormat="1" ht="13.5" thickBot="1" x14ac:dyDescent="0.25">
      <c r="A194" s="24" t="s">
        <v>689</v>
      </c>
      <c r="B194" s="14"/>
      <c r="C194" s="14"/>
      <c r="D194" s="20">
        <f>INDEX('Raw Data'!$C$2:$LO$71,$B$1,176)</f>
        <v>100</v>
      </c>
    </row>
    <row r="195" spans="1:9" s="6" customFormat="1" ht="13.5" thickTop="1" x14ac:dyDescent="0.2">
      <c r="A195" s="24" t="s">
        <v>691</v>
      </c>
      <c r="B195" s="14"/>
      <c r="C195" s="14"/>
      <c r="D195" s="20">
        <f>INDEX('Raw Data'!$C$2:$LO$71,$B$1,177)</f>
        <v>100</v>
      </c>
      <c r="F195" s="28" t="s">
        <v>700</v>
      </c>
      <c r="G195" s="38"/>
      <c r="H195" s="23"/>
      <c r="I195" s="39" t="s">
        <v>742</v>
      </c>
    </row>
    <row r="196" spans="1:9" s="6" customFormat="1" ht="12.75" x14ac:dyDescent="0.2">
      <c r="A196" s="24" t="s">
        <v>692</v>
      </c>
      <c r="B196" s="14"/>
      <c r="C196" s="14"/>
      <c r="D196" s="20">
        <f>INDEX('Raw Data'!$C$2:$LO$71,$B$1,178)</f>
        <v>100</v>
      </c>
      <c r="F196" s="24" t="s">
        <v>702</v>
      </c>
      <c r="G196" s="14"/>
      <c r="H196" s="14"/>
      <c r="I196" s="40">
        <f>INDEX('Raw Data'!$C$2:$LO$71,$B$1,180)</f>
        <v>3.9E-2</v>
      </c>
    </row>
    <row r="197" spans="1:9" s="6" customFormat="1" ht="12.75" x14ac:dyDescent="0.2">
      <c r="A197" s="24" t="s">
        <v>693</v>
      </c>
      <c r="B197" s="14"/>
      <c r="C197" s="14"/>
      <c r="D197" s="20">
        <f>INDEX('Raw Data'!$C$2:$LO$71,$B$1,179)</f>
        <v>100</v>
      </c>
      <c r="F197" s="24" t="s">
        <v>703</v>
      </c>
      <c r="G197" s="14"/>
      <c r="H197" s="14"/>
      <c r="I197" s="40">
        <f>INDEX('Raw Data'!$C$2:$LO$71,$B$1,181)</f>
        <v>7.1999999999999995E-2</v>
      </c>
    </row>
    <row r="198" spans="1:9" s="6" customFormat="1" ht="13.5" thickBot="1" x14ac:dyDescent="0.25">
      <c r="F198" s="24" t="s">
        <v>704</v>
      </c>
      <c r="G198" s="14"/>
      <c r="H198" s="14"/>
      <c r="I198" s="40">
        <f>INDEX('Raw Data'!$C$2:$LO$71,$B$1,182)</f>
        <v>-9.5000000000000001E-2</v>
      </c>
    </row>
    <row r="199" spans="1:9" s="6" customFormat="1" ht="13.5" thickTop="1" x14ac:dyDescent="0.2">
      <c r="A199" s="28" t="s">
        <v>701</v>
      </c>
      <c r="B199" s="39" t="s">
        <v>743</v>
      </c>
      <c r="C199" s="39" t="s">
        <v>464</v>
      </c>
      <c r="D199" s="39" t="s">
        <v>465</v>
      </c>
      <c r="F199" s="24" t="s">
        <v>498</v>
      </c>
      <c r="G199" s="14"/>
      <c r="H199" s="14"/>
      <c r="I199" s="40">
        <f>INDEX('Raw Data'!$C$2:$LO$71,$B$1,183)</f>
        <v>6.6000000000000003E-2</v>
      </c>
    </row>
    <row r="200" spans="1:9" s="6" customFormat="1" ht="12.75" x14ac:dyDescent="0.2">
      <c r="A200" s="24" t="s">
        <v>726</v>
      </c>
      <c r="B200" s="37">
        <f>INDEX('Raw Data'!$C$2:$LO$71,$B$1,125)</f>
        <v>58609.17</v>
      </c>
      <c r="C200" s="14"/>
      <c r="D200" s="14"/>
      <c r="F200" s="24" t="s">
        <v>705</v>
      </c>
      <c r="G200" s="14"/>
      <c r="H200" s="14"/>
      <c r="I200" s="40">
        <f>INDEX('Raw Data'!$C$2:$LO$71,$B$1,184)</f>
        <v>7.9000000000000001E-2</v>
      </c>
    </row>
    <row r="201" spans="1:9" s="6" customFormat="1" ht="12.75" x14ac:dyDescent="0.2">
      <c r="A201" s="24" t="s">
        <v>727</v>
      </c>
      <c r="B201" s="37">
        <f>INDEX('Raw Data'!$C$2:$LO$71,$B$1,126)</f>
        <v>26772.71</v>
      </c>
      <c r="C201" s="21">
        <f>B201/B$200</f>
        <v>0.45680070200618778</v>
      </c>
      <c r="D201" s="14"/>
      <c r="F201" s="24" t="s">
        <v>706</v>
      </c>
      <c r="G201" s="14"/>
      <c r="H201" s="14"/>
      <c r="I201" s="40">
        <f>INDEX('Raw Data'!$C$2:$LO$71,$B$1,185)</f>
        <v>1.7000000000000001E-2</v>
      </c>
    </row>
    <row r="202" spans="1:9" s="6" customFormat="1" ht="12.75" x14ac:dyDescent="0.2">
      <c r="A202" s="24" t="s">
        <v>728</v>
      </c>
      <c r="B202" s="37">
        <f>B200-B201</f>
        <v>31836.46</v>
      </c>
      <c r="C202" s="21">
        <f>B202/B$200</f>
        <v>0.54319929799381228</v>
      </c>
      <c r="D202" s="14"/>
      <c r="F202" s="24" t="s">
        <v>493</v>
      </c>
      <c r="G202" s="14"/>
      <c r="H202" s="14"/>
      <c r="I202" s="40">
        <f>INDEX('Raw Data'!$C$2:$LO$71,$B$1,186)</f>
        <v>6.3E-2</v>
      </c>
    </row>
    <row r="203" spans="1:9" s="6" customFormat="1" ht="12.75" x14ac:dyDescent="0.2">
      <c r="A203" s="24"/>
      <c r="B203" s="14"/>
      <c r="C203" s="14"/>
      <c r="D203" s="14"/>
      <c r="F203" s="24" t="s">
        <v>707</v>
      </c>
      <c r="G203" s="14"/>
      <c r="H203" s="14"/>
      <c r="I203" s="40">
        <f>INDEX('Raw Data'!$C$2:$LO$71,$B$1,187)</f>
        <v>7.0000000000000001E-3</v>
      </c>
    </row>
    <row r="204" spans="1:9" s="6" customFormat="1" ht="12.75" x14ac:dyDescent="0.2">
      <c r="A204" s="24" t="s">
        <v>729</v>
      </c>
      <c r="B204" s="37">
        <f>INDEX('Raw Data'!$C$2:$LO$71,$B$1,129)</f>
        <v>2052.12</v>
      </c>
      <c r="C204" s="21">
        <f t="shared" ref="C204:C220" si="20">B204/B$200</f>
        <v>3.5013633532090624E-2</v>
      </c>
      <c r="D204" s="14"/>
      <c r="F204" s="24" t="s">
        <v>708</v>
      </c>
      <c r="G204" s="14"/>
      <c r="H204" s="14"/>
      <c r="I204" s="40">
        <f>INDEX('Raw Data'!$C$2:$LO$71,$B$1,188)</f>
        <v>0.14599999999999999</v>
      </c>
    </row>
    <row r="205" spans="1:9" s="6" customFormat="1" ht="12.75" x14ac:dyDescent="0.2">
      <c r="A205" s="24" t="s">
        <v>731</v>
      </c>
      <c r="B205" s="37">
        <f>INDEX('Raw Data'!$C$2:$LO$71,$B$1,127)</f>
        <v>2628.01</v>
      </c>
      <c r="C205" s="21">
        <f t="shared" si="20"/>
        <v>4.4839570326622953E-2</v>
      </c>
      <c r="D205" s="14"/>
      <c r="F205" s="24" t="s">
        <v>709</v>
      </c>
      <c r="G205" s="14"/>
      <c r="H205" s="14"/>
      <c r="I205" s="40">
        <f>INDEX('Raw Data'!$C$2:$LO$71,$B$1,189)</f>
        <v>4.0000000000000001E-3</v>
      </c>
    </row>
    <row r="206" spans="1:9" s="6" customFormat="1" ht="12.75" x14ac:dyDescent="0.2">
      <c r="A206" s="24" t="s">
        <v>532</v>
      </c>
      <c r="B206" s="37">
        <f>INDEX('Raw Data'!$C$2:$LO$71,$B$1,130)</f>
        <v>2218.98</v>
      </c>
      <c r="C206" s="21">
        <f t="shared" si="20"/>
        <v>3.7860628294173082E-2</v>
      </c>
      <c r="D206" s="14"/>
      <c r="F206" s="24" t="s">
        <v>710</v>
      </c>
      <c r="G206" s="14"/>
      <c r="H206" s="14"/>
      <c r="I206" s="40">
        <f>INDEX('Raw Data'!$C$2:$LO$71,$B$1,190)</f>
        <v>-4.1000000000000002E-2</v>
      </c>
    </row>
    <row r="207" spans="1:9" s="6" customFormat="1" ht="12.75" x14ac:dyDescent="0.2">
      <c r="A207" s="24" t="s">
        <v>730</v>
      </c>
      <c r="B207" s="37">
        <f>INDEX('Raw Data'!$C$2:$LO$71,$B$1,131)</f>
        <v>3288.5</v>
      </c>
      <c r="C207" s="21">
        <f t="shared" si="20"/>
        <v>5.6108967248640444E-2</v>
      </c>
      <c r="D207" s="14"/>
      <c r="F207" s="24" t="s">
        <v>711</v>
      </c>
      <c r="G207" s="14"/>
      <c r="H207" s="14"/>
      <c r="I207" s="40">
        <f>INDEX('Raw Data'!$C$2:$LO$71,$B$1,191)</f>
        <v>-6.5000000000000002E-2</v>
      </c>
    </row>
    <row r="208" spans="1:9" s="6" customFormat="1" ht="12.75" x14ac:dyDescent="0.2">
      <c r="A208" s="24" t="s">
        <v>732</v>
      </c>
      <c r="B208" s="37">
        <f>INDEX('Raw Data'!$C$2:$LO$71,$B$1,132)</f>
        <v>8558.74</v>
      </c>
      <c r="C208" s="21">
        <f t="shared" si="20"/>
        <v>0.14603073205097428</v>
      </c>
      <c r="D208" s="14"/>
      <c r="F208" s="24" t="s">
        <v>712</v>
      </c>
      <c r="G208" s="14"/>
      <c r="H208" s="14"/>
      <c r="I208" s="40">
        <f>INDEX('Raw Data'!$C$2:$LO$71,$B$1,192)</f>
        <v>0.192</v>
      </c>
    </row>
    <row r="209" spans="1:9" s="6" customFormat="1" ht="12.75" x14ac:dyDescent="0.2">
      <c r="A209" s="24" t="s">
        <v>741</v>
      </c>
      <c r="B209" s="37">
        <f>INDEX('Raw Data'!$C$2:$LO$71,$B$1,143)</f>
        <v>1478.17</v>
      </c>
      <c r="C209" s="21">
        <f t="shared" si="20"/>
        <v>2.5220797359867066E-2</v>
      </c>
      <c r="D209" s="14"/>
      <c r="F209" s="24" t="s">
        <v>713</v>
      </c>
      <c r="G209" s="14"/>
      <c r="H209" s="14"/>
      <c r="I209" s="40">
        <f>INDEX('Raw Data'!$C$2:$LO$71,$B$1,193)</f>
        <v>-1.0999999999999999E-2</v>
      </c>
    </row>
    <row r="210" spans="1:9" s="6" customFormat="1" ht="12.75" x14ac:dyDescent="0.2">
      <c r="A210" s="24" t="s">
        <v>533</v>
      </c>
      <c r="B210" s="37">
        <f>INDEX('Raw Data'!$C$2:$LO$71,$B$1,133)</f>
        <v>4653.04</v>
      </c>
      <c r="C210" s="21">
        <f t="shared" si="20"/>
        <v>7.9390989498742265E-2</v>
      </c>
      <c r="D210" s="14"/>
      <c r="F210" s="24" t="s">
        <v>714</v>
      </c>
      <c r="G210" s="14"/>
      <c r="H210" s="14"/>
      <c r="I210" s="40">
        <f>INDEX('Raw Data'!$C$2:$LO$71,$B$1,194)</f>
        <v>3.5999999999999997E-2</v>
      </c>
    </row>
    <row r="211" spans="1:9" s="6" customFormat="1" ht="12.75" x14ac:dyDescent="0.2">
      <c r="A211" s="24" t="s">
        <v>735</v>
      </c>
      <c r="B211" s="37">
        <f>INDEX('Raw Data'!$C$2:$LO$71,$B$1,134)</f>
        <v>2019.92</v>
      </c>
      <c r="C211" s="21">
        <f t="shared" si="20"/>
        <v>3.4464231450470978E-2</v>
      </c>
      <c r="D211" s="14"/>
      <c r="F211" s="24" t="s">
        <v>715</v>
      </c>
      <c r="G211" s="14"/>
      <c r="H211" s="14"/>
      <c r="I211" s="40">
        <f>INDEX('Raw Data'!$C$2:$LO$71,$B$1,195)</f>
        <v>0.04</v>
      </c>
    </row>
    <row r="212" spans="1:9" s="6" customFormat="1" ht="12.75" x14ac:dyDescent="0.2">
      <c r="A212" s="24" t="s">
        <v>733</v>
      </c>
      <c r="B212" s="37">
        <f>INDEX('Raw Data'!$C$2:$LO$71,$B$1,135)</f>
        <v>12109.04</v>
      </c>
      <c r="C212" s="21">
        <f t="shared" si="20"/>
        <v>0.20660657709365277</v>
      </c>
      <c r="D212" s="14"/>
      <c r="F212" s="24" t="s">
        <v>716</v>
      </c>
      <c r="G212" s="14"/>
      <c r="H212" s="14"/>
      <c r="I212" s="40">
        <f>INDEX('Raw Data'!$C$2:$LO$71,$B$1,196)</f>
        <v>-6.0000000000000001E-3</v>
      </c>
    </row>
    <row r="213" spans="1:9" s="6" customFormat="1" ht="12.75" x14ac:dyDescent="0.2">
      <c r="A213" s="24" t="s">
        <v>734</v>
      </c>
      <c r="B213" s="37">
        <f>INDEX('Raw Data'!$C$2:$LO$71,$B$1,136)</f>
        <v>1697.68</v>
      </c>
      <c r="C213" s="21">
        <f t="shared" si="20"/>
        <v>2.8966115711926994E-2</v>
      </c>
      <c r="D213" s="14"/>
      <c r="F213" s="24" t="s">
        <v>717</v>
      </c>
      <c r="G213" s="14"/>
      <c r="H213" s="14"/>
      <c r="I213" s="40">
        <f>INDEX('Raw Data'!$C$2:$LO$71,$B$1,197)</f>
        <v>2.4E-2</v>
      </c>
    </row>
    <row r="214" spans="1:9" s="6" customFormat="1" ht="12.75" x14ac:dyDescent="0.2">
      <c r="A214" s="24" t="s">
        <v>736</v>
      </c>
      <c r="B214" s="37">
        <f>INDEX('Raw Data'!$C$2:$LO$71,$B$1,137)</f>
        <v>857.35</v>
      </c>
      <c r="C214" s="21">
        <f t="shared" si="20"/>
        <v>1.4628256977534403E-2</v>
      </c>
      <c r="D214" s="14"/>
      <c r="F214" s="24" t="s">
        <v>718</v>
      </c>
      <c r="G214" s="14"/>
      <c r="H214" s="14"/>
      <c r="I214" s="40">
        <f>INDEX('Raw Data'!$C$2:$LO$71,$B$1,198)</f>
        <v>-5.0000000000000001E-3</v>
      </c>
    </row>
    <row r="215" spans="1:9" s="6" customFormat="1" ht="12.75" x14ac:dyDescent="0.2">
      <c r="A215" s="24" t="s">
        <v>737</v>
      </c>
      <c r="B215" s="37">
        <f>INDEX('Raw Data'!$C$2:$LO$71,$B$1,138)</f>
        <v>759.24</v>
      </c>
      <c r="C215" s="21">
        <f t="shared" si="20"/>
        <v>1.2954286846239249E-2</v>
      </c>
      <c r="D215" s="14"/>
      <c r="F215" s="24" t="s">
        <v>719</v>
      </c>
      <c r="G215" s="14"/>
      <c r="H215" s="14"/>
      <c r="I215" s="40">
        <f>INDEX('Raw Data'!$C$2:$LO$71,$B$1,199)</f>
        <v>-1.7999999999999999E-2</v>
      </c>
    </row>
    <row r="216" spans="1:9" s="6" customFormat="1" ht="12.75" x14ac:dyDescent="0.2">
      <c r="A216" s="24" t="s">
        <v>738</v>
      </c>
      <c r="B216" s="37">
        <f>INDEX('Raw Data'!$C$2:$LO$71,$B$1,128)</f>
        <v>443.06</v>
      </c>
      <c r="C216" s="21">
        <f t="shared" si="20"/>
        <v>7.5595678969690239E-3</v>
      </c>
      <c r="D216" s="14"/>
      <c r="F216" s="24" t="s">
        <v>720</v>
      </c>
      <c r="G216" s="14"/>
      <c r="H216" s="14"/>
      <c r="I216" s="40">
        <f>INDEX('Raw Data'!$C$2:$LO$71,$B$1,200)</f>
        <v>-3.6999999999999998E-2</v>
      </c>
    </row>
    <row r="217" spans="1:9" s="6" customFormat="1" ht="12.75" x14ac:dyDescent="0.2">
      <c r="A217" s="24" t="s">
        <v>739</v>
      </c>
      <c r="B217" s="37">
        <f>INDEX('Raw Data'!$C$2:$LO$71,$B$1,139)</f>
        <v>130.1</v>
      </c>
      <c r="C217" s="21">
        <f t="shared" si="20"/>
        <v>2.2197891558607638E-3</v>
      </c>
      <c r="D217" s="14"/>
      <c r="F217" s="24" t="s">
        <v>721</v>
      </c>
      <c r="G217" s="14"/>
      <c r="H217" s="14"/>
      <c r="I217" s="40">
        <f>INDEX('Raw Data'!$C$2:$LO$71,$B$1,201)</f>
        <v>-4.3999999999999997E-2</v>
      </c>
    </row>
    <row r="218" spans="1:9" s="6" customFormat="1" ht="12.75" x14ac:dyDescent="0.2">
      <c r="A218" s="24" t="s">
        <v>740</v>
      </c>
      <c r="B218" s="37">
        <f>INDEX('Raw Data'!$C$2:$LO$71,$B$1,140)</f>
        <v>352.14</v>
      </c>
      <c r="C218" s="21">
        <f t="shared" si="20"/>
        <v>6.0082748143336613E-3</v>
      </c>
      <c r="D218" s="14"/>
      <c r="F218" s="24" t="s">
        <v>722</v>
      </c>
      <c r="G218" s="14"/>
      <c r="H218" s="14"/>
      <c r="I218" s="40">
        <f>INDEX('Raw Data'!$C$2:$LO$71,$B$1,202)</f>
        <v>-1.2999999999999999E-2</v>
      </c>
    </row>
    <row r="219" spans="1:9" s="6" customFormat="1" ht="12.75" x14ac:dyDescent="0.2">
      <c r="A219" s="24" t="s">
        <v>526</v>
      </c>
      <c r="B219" s="37">
        <f>INDEX('Raw Data'!$C$2:$LO$71,$B$1,141)</f>
        <v>10998.71</v>
      </c>
      <c r="C219" s="21">
        <f t="shared" si="20"/>
        <v>0.18766193071835005</v>
      </c>
      <c r="D219" s="14"/>
      <c r="F219" s="24" t="s">
        <v>723</v>
      </c>
      <c r="G219" s="14"/>
      <c r="H219" s="14"/>
      <c r="I219" s="40">
        <f>INDEX('Raw Data'!$C$2:$LO$71,$B$1,203)</f>
        <v>4.0000000000000001E-3</v>
      </c>
    </row>
    <row r="220" spans="1:9" s="6" customFormat="1" ht="12.75" x14ac:dyDescent="0.2">
      <c r="A220" s="24" t="s">
        <v>527</v>
      </c>
      <c r="B220" s="37">
        <f>INDEX('Raw Data'!$C$2:$LO$71,$B$1,142)</f>
        <v>4364.37</v>
      </c>
      <c r="C220" s="21">
        <f t="shared" si="20"/>
        <v>7.4465651023551432E-2</v>
      </c>
      <c r="D220" s="14"/>
      <c r="F220" s="24" t="s">
        <v>724</v>
      </c>
      <c r="G220" s="14"/>
      <c r="H220" s="14"/>
      <c r="I220" s="40">
        <f>INDEX('Raw Data'!$C$2:$LO$71,$B$1,204)</f>
        <v>1.6E-2</v>
      </c>
    </row>
    <row r="221" spans="1:9" s="6" customFormat="1" ht="13.5" thickBot="1" x14ac:dyDescent="0.25">
      <c r="F221" s="24" t="s">
        <v>725</v>
      </c>
      <c r="G221" s="14"/>
      <c r="H221" s="14"/>
      <c r="I221" s="40">
        <f>INDEX('Raw Data'!$C$2:$LO$71,$B$1,205)</f>
        <v>8.0000000000000002E-3</v>
      </c>
    </row>
    <row r="222" spans="1:9" s="6" customFormat="1" ht="14.25" thickTop="1" thickBot="1" x14ac:dyDescent="0.25">
      <c r="A222" s="28" t="s">
        <v>766</v>
      </c>
      <c r="B222" s="41">
        <f>SUM(B223:B232)</f>
        <v>291800</v>
      </c>
      <c r="C222" s="23"/>
      <c r="D222" s="23"/>
    </row>
    <row r="223" spans="1:9" s="6" customFormat="1" ht="12.75" x14ac:dyDescent="0.2">
      <c r="A223" s="24" t="s">
        <v>745</v>
      </c>
      <c r="B223" s="37">
        <f>INDEX('Raw Data'!$C$2:$LO$71,$B$1,144)</f>
        <v>38176</v>
      </c>
      <c r="C223" s="21">
        <f t="shared" ref="C223:C232" si="21">B223/B$222</f>
        <v>0.13082933516106923</v>
      </c>
      <c r="D223" s="14"/>
      <c r="F223" s="42" t="s">
        <v>767</v>
      </c>
      <c r="G223" s="43">
        <f>SUM(G224:G229)</f>
        <v>416393</v>
      </c>
      <c r="H223" s="18"/>
      <c r="I223" s="18"/>
    </row>
    <row r="224" spans="1:9" s="6" customFormat="1" ht="12.75" x14ac:dyDescent="0.2">
      <c r="A224" s="24" t="s">
        <v>746</v>
      </c>
      <c r="B224" s="37">
        <f>INDEX('Raw Data'!$C$2:$LO$71,$B$1,145)</f>
        <v>5249</v>
      </c>
      <c r="C224" s="21">
        <f t="shared" si="21"/>
        <v>1.7988348183687459E-2</v>
      </c>
      <c r="D224" s="14"/>
      <c r="F224" s="19" t="s">
        <v>755</v>
      </c>
      <c r="G224" s="37">
        <f>INDEX('Raw Data'!$C$2:$LO$71,$B$1,155)</f>
        <v>20716</v>
      </c>
      <c r="H224" s="21">
        <f>G224/G$223</f>
        <v>4.9751076507049831E-2</v>
      </c>
      <c r="I224" s="14"/>
    </row>
    <row r="225" spans="1:9" s="6" customFormat="1" ht="12.75" x14ac:dyDescent="0.2">
      <c r="A225" s="24" t="s">
        <v>747</v>
      </c>
      <c r="B225" s="37">
        <f>INDEX('Raw Data'!$C$2:$LO$71,$B$1,146)</f>
        <v>697</v>
      </c>
      <c r="C225" s="21">
        <f t="shared" si="21"/>
        <v>2.3886223440712818E-3</v>
      </c>
      <c r="D225" s="14"/>
      <c r="F225" s="19" t="s">
        <v>758</v>
      </c>
      <c r="G225" s="37">
        <f>INDEX('Raw Data'!$C$2:$LO$71,$B$1,156)</f>
        <v>187908</v>
      </c>
      <c r="H225" s="21">
        <f t="shared" ref="H225:H229" si="22">G225/G$223</f>
        <v>0.45127559781264337</v>
      </c>
      <c r="I225" s="14"/>
    </row>
    <row r="226" spans="1:9" s="6" customFormat="1" ht="12.75" x14ac:dyDescent="0.2">
      <c r="A226" s="24" t="s">
        <v>748</v>
      </c>
      <c r="B226" s="37">
        <f>INDEX('Raw Data'!$C$2:$LO$71,$B$1,147)</f>
        <v>9384</v>
      </c>
      <c r="C226" s="21">
        <f t="shared" si="21"/>
        <v>3.2159013022618234E-2</v>
      </c>
      <c r="D226" s="14"/>
      <c r="F226" s="19" t="s">
        <v>756</v>
      </c>
      <c r="G226" s="37">
        <f>INDEX('Raw Data'!$C$2:$LO$71,$B$1,157)</f>
        <v>47936</v>
      </c>
      <c r="H226" s="21">
        <f t="shared" si="22"/>
        <v>0.11512201213757196</v>
      </c>
      <c r="I226" s="14"/>
    </row>
    <row r="227" spans="1:9" s="6" customFormat="1" ht="12.75" x14ac:dyDescent="0.2">
      <c r="A227" s="24" t="s">
        <v>749</v>
      </c>
      <c r="B227" s="37">
        <f>INDEX('Raw Data'!$C$2:$LO$71,$B$1,148)</f>
        <v>46708</v>
      </c>
      <c r="C227" s="21">
        <f t="shared" si="21"/>
        <v>0.16006854009595614</v>
      </c>
      <c r="D227" s="14"/>
      <c r="F227" s="19" t="s">
        <v>757</v>
      </c>
      <c r="G227" s="37">
        <f>INDEX('Raw Data'!$C$2:$LO$71,$B$1,158)</f>
        <v>21862</v>
      </c>
      <c r="H227" s="21">
        <f t="shared" si="22"/>
        <v>5.2503284157034341E-2</v>
      </c>
      <c r="I227" s="14"/>
    </row>
    <row r="228" spans="1:9" s="6" customFormat="1" ht="12.75" x14ac:dyDescent="0.2">
      <c r="A228" s="24" t="s">
        <v>750</v>
      </c>
      <c r="B228" s="37">
        <f>INDEX('Raw Data'!$C$2:$LO$71,$B$1,149)</f>
        <v>43775</v>
      </c>
      <c r="C228" s="21">
        <f t="shared" si="21"/>
        <v>0.15001713502398903</v>
      </c>
      <c r="D228" s="14"/>
      <c r="F228" s="19" t="s">
        <v>759</v>
      </c>
      <c r="G228" s="37">
        <f>INDEX('Raw Data'!$C$2:$LO$71,$B$1,159)</f>
        <v>132019</v>
      </c>
      <c r="H228" s="21">
        <f t="shared" si="22"/>
        <v>0.3170538409627443</v>
      </c>
      <c r="I228" s="14"/>
    </row>
    <row r="229" spans="1:9" s="6" customFormat="1" ht="12.75" x14ac:dyDescent="0.2">
      <c r="A229" s="24" t="s">
        <v>751</v>
      </c>
      <c r="B229" s="37">
        <f>INDEX('Raw Data'!$C$2:$LO$71,$B$1,150)</f>
        <v>113922</v>
      </c>
      <c r="C229" s="21">
        <f t="shared" si="21"/>
        <v>0.39041124057573678</v>
      </c>
      <c r="D229" s="14"/>
      <c r="F229" s="19" t="s">
        <v>760</v>
      </c>
      <c r="G229" s="37">
        <f>INDEX('Raw Data'!$C$2:$LO$71,$B$1,160)</f>
        <v>5952</v>
      </c>
      <c r="H229" s="21">
        <f t="shared" si="22"/>
        <v>1.4294188422956197E-2</v>
      </c>
      <c r="I229" s="14"/>
    </row>
    <row r="230" spans="1:9" s="6" customFormat="1" ht="13.5" thickBot="1" x14ac:dyDescent="0.25">
      <c r="A230" s="24" t="s">
        <v>752</v>
      </c>
      <c r="B230" s="37">
        <f>INDEX('Raw Data'!$C$2:$LO$71,$B$1,151)</f>
        <v>7546</v>
      </c>
      <c r="C230" s="21">
        <f t="shared" si="21"/>
        <v>2.5860178204249486E-2</v>
      </c>
      <c r="D230" s="14"/>
    </row>
    <row r="231" spans="1:9" s="6" customFormat="1" ht="13.5" thickTop="1" x14ac:dyDescent="0.2">
      <c r="A231" s="24" t="s">
        <v>753</v>
      </c>
      <c r="B231" s="37">
        <f>INDEX('Raw Data'!$C$2:$LO$71,$B$1,152)</f>
        <v>22201</v>
      </c>
      <c r="C231" s="21">
        <f t="shared" si="21"/>
        <v>7.6082933516106926E-2</v>
      </c>
      <c r="D231" s="14"/>
      <c r="F231" s="28" t="s">
        <v>744</v>
      </c>
      <c r="G231" s="41">
        <f>SUM(G232:G236)</f>
        <v>97107</v>
      </c>
      <c r="H231" s="23"/>
      <c r="I231" s="23"/>
    </row>
    <row r="232" spans="1:9" s="6" customFormat="1" ht="12.75" x14ac:dyDescent="0.2">
      <c r="A232" s="24" t="s">
        <v>754</v>
      </c>
      <c r="B232" s="37">
        <f>INDEX('Raw Data'!$C$2:$LO$71,$B$1,153)</f>
        <v>4142</v>
      </c>
      <c r="C232" s="21">
        <f t="shared" si="21"/>
        <v>1.4194653872515421E-2</v>
      </c>
      <c r="D232" s="14"/>
      <c r="F232" s="24" t="s">
        <v>761</v>
      </c>
      <c r="G232" s="37">
        <f>INDEX('Raw Data'!$C$2:$LO$71,$B$1,162)</f>
        <v>72234</v>
      </c>
      <c r="H232" s="21">
        <f>G232/G$231</f>
        <v>0.74385986592109732</v>
      </c>
      <c r="I232" s="14"/>
    </row>
    <row r="233" spans="1:9" s="6" customFormat="1" ht="12.75" x14ac:dyDescent="0.2">
      <c r="A233" s="24"/>
      <c r="B233" s="14"/>
      <c r="C233" s="21"/>
      <c r="D233" s="14"/>
      <c r="F233" s="24" t="s">
        <v>762</v>
      </c>
      <c r="G233" s="37">
        <f>INDEX('Raw Data'!$C$2:$LO$71,$B$1,163)</f>
        <v>12542</v>
      </c>
      <c r="H233" s="21">
        <f>G233/G$231</f>
        <v>0.12915649747186095</v>
      </c>
      <c r="I233" s="14"/>
    </row>
    <row r="234" spans="1:9" s="6" customFormat="1" ht="12.75" x14ac:dyDescent="0.2">
      <c r="F234" s="24" t="s">
        <v>763</v>
      </c>
      <c r="G234" s="37">
        <f>INDEX('Raw Data'!$C$2:$LO$71,$B$1,164)</f>
        <v>764</v>
      </c>
      <c r="H234" s="21">
        <f>G234/G$231</f>
        <v>7.8676099560278864E-3</v>
      </c>
      <c r="I234" s="14"/>
    </row>
    <row r="235" spans="1:9" s="6" customFormat="1" ht="12.75" x14ac:dyDescent="0.2">
      <c r="F235" s="24" t="s">
        <v>764</v>
      </c>
      <c r="G235" s="37">
        <f>INDEX('Raw Data'!$C$2:$LO$71,$B$1,165)</f>
        <v>2286</v>
      </c>
      <c r="H235" s="21">
        <f>G235/G$231</f>
        <v>2.3541042355339985E-2</v>
      </c>
      <c r="I235" s="14"/>
    </row>
    <row r="236" spans="1:9" s="6" customFormat="1" ht="12.75" x14ac:dyDescent="0.2">
      <c r="F236" s="24" t="s">
        <v>765</v>
      </c>
      <c r="G236" s="37">
        <f>INDEX('Raw Data'!$C$2:$LO$71,$B$1,166)</f>
        <v>9281</v>
      </c>
      <c r="H236" s="21">
        <f>G236/G$231</f>
        <v>9.5574984295673848E-2</v>
      </c>
      <c r="I236" s="14"/>
    </row>
    <row r="237" spans="1:9" s="6" customFormat="1" ht="12.75" x14ac:dyDescent="0.2"/>
    <row r="238" spans="1:9" s="6" customFormat="1" ht="12.75" x14ac:dyDescent="0.2"/>
    <row r="239" spans="1:9" s="6" customFormat="1" ht="12.75" x14ac:dyDescent="0.2"/>
    <row r="240" spans="1:9" s="6" customFormat="1" ht="12.75" x14ac:dyDescent="0.2"/>
    <row r="241" s="6" customFormat="1" ht="12.75" x14ac:dyDescent="0.2"/>
    <row r="242" s="6" customFormat="1" ht="12.75" x14ac:dyDescent="0.2"/>
    <row r="243" s="6" customFormat="1" ht="12.75" x14ac:dyDescent="0.2"/>
    <row r="244" s="6" customFormat="1" ht="12.75" x14ac:dyDescent="0.2"/>
    <row r="245" s="6" customFormat="1" ht="12.75" x14ac:dyDescent="0.2"/>
    <row r="246" s="6" customFormat="1" ht="12.75" x14ac:dyDescent="0.2"/>
    <row r="247" s="6" customFormat="1" ht="12.75" x14ac:dyDescent="0.2"/>
    <row r="248" s="6" customFormat="1" ht="12.75" x14ac:dyDescent="0.2"/>
    <row r="249" s="6" customFormat="1" ht="12.75" x14ac:dyDescent="0.2"/>
    <row r="250" s="6" customFormat="1" ht="12.75" x14ac:dyDescent="0.2"/>
    <row r="251" s="6" customFormat="1" ht="12.75" x14ac:dyDescent="0.2"/>
    <row r="252" s="6" customFormat="1" ht="12.75" x14ac:dyDescent="0.2"/>
    <row r="253" s="6" customFormat="1" ht="12.75" x14ac:dyDescent="0.2"/>
    <row r="254" s="6" customFormat="1" ht="12.75" x14ac:dyDescent="0.2"/>
    <row r="255" s="6" customFormat="1" ht="12.75" x14ac:dyDescent="0.2"/>
    <row r="256" s="6" customFormat="1" ht="12.75" x14ac:dyDescent="0.2"/>
    <row r="257" s="6" customFormat="1" ht="12.75" x14ac:dyDescent="0.2"/>
    <row r="258" s="6" customFormat="1" ht="12.75" x14ac:dyDescent="0.2"/>
    <row r="259" s="6" customFormat="1" ht="12.75" x14ac:dyDescent="0.2"/>
    <row r="260" s="6" customFormat="1" ht="12.75" x14ac:dyDescent="0.2"/>
    <row r="261" s="6" customFormat="1" ht="12.75" x14ac:dyDescent="0.2"/>
    <row r="262" s="6" customFormat="1" ht="12.75" x14ac:dyDescent="0.2"/>
    <row r="263" s="6" customFormat="1" ht="12.75" x14ac:dyDescent="0.2"/>
    <row r="264" s="6" customFormat="1" ht="12.75" x14ac:dyDescent="0.2"/>
    <row r="265" s="6" customFormat="1" ht="12.75" x14ac:dyDescent="0.2"/>
    <row r="266" s="6" customFormat="1" ht="12.75" x14ac:dyDescent="0.2"/>
    <row r="267" s="6" customFormat="1" ht="12.75" x14ac:dyDescent="0.2"/>
    <row r="268" s="6" customFormat="1" ht="12.75" x14ac:dyDescent="0.2"/>
    <row r="269" s="6" customFormat="1" ht="12.75" x14ac:dyDescent="0.2"/>
    <row r="270" s="6" customFormat="1" ht="12.75" x14ac:dyDescent="0.2"/>
    <row r="271" s="6" customFormat="1" ht="12.75" x14ac:dyDescent="0.2"/>
    <row r="272" s="6" customFormat="1" ht="12.75" x14ac:dyDescent="0.2"/>
    <row r="273" s="6" customFormat="1" ht="12.75" x14ac:dyDescent="0.2"/>
    <row r="274" s="6" customFormat="1" ht="12.75" x14ac:dyDescent="0.2"/>
    <row r="275" s="6" customFormat="1" ht="12.75" x14ac:dyDescent="0.2"/>
    <row r="276" s="6" customFormat="1" ht="12.75" x14ac:dyDescent="0.2"/>
    <row r="277" s="6" customFormat="1" ht="12.75" x14ac:dyDescent="0.2"/>
    <row r="278" s="6" customFormat="1" ht="12.75" x14ac:dyDescent="0.2"/>
    <row r="279" s="6" customFormat="1" ht="12.75" x14ac:dyDescent="0.2"/>
    <row r="280" s="6" customFormat="1" ht="12.75" x14ac:dyDescent="0.2"/>
    <row r="281" s="6" customFormat="1" ht="12.75" x14ac:dyDescent="0.2"/>
    <row r="282" s="6" customFormat="1" ht="12.75" x14ac:dyDescent="0.2"/>
    <row r="283" s="6" customFormat="1" ht="12.75" x14ac:dyDescent="0.2"/>
    <row r="284" s="6" customFormat="1" ht="12.75" x14ac:dyDescent="0.2"/>
    <row r="285" s="6" customFormat="1" ht="12.75" x14ac:dyDescent="0.2"/>
    <row r="286" s="6" customFormat="1" ht="12.75" x14ac:dyDescent="0.2"/>
    <row r="287" s="6" customFormat="1" ht="12.75" x14ac:dyDescent="0.2"/>
    <row r="288" s="6" customFormat="1" ht="12.75" x14ac:dyDescent="0.2"/>
    <row r="289" s="6" customFormat="1" ht="12.75" x14ac:dyDescent="0.2"/>
    <row r="290" s="6" customFormat="1" ht="12.75" x14ac:dyDescent="0.2"/>
    <row r="291" s="6" customFormat="1" ht="12.75" x14ac:dyDescent="0.2"/>
    <row r="292" s="6" customFormat="1" ht="12.75" x14ac:dyDescent="0.2"/>
    <row r="293" s="6" customFormat="1" ht="12.75" x14ac:dyDescent="0.2"/>
    <row r="294" s="6" customFormat="1" ht="12.75" x14ac:dyDescent="0.2"/>
    <row r="295" s="6" customFormat="1" ht="12.75" x14ac:dyDescent="0.2"/>
    <row r="296" s="6" customFormat="1" ht="12.75" x14ac:dyDescent="0.2"/>
    <row r="297" s="6" customFormat="1" ht="12.75" x14ac:dyDescent="0.2"/>
    <row r="298" s="6" customFormat="1" ht="12.75" x14ac:dyDescent="0.2"/>
    <row r="299" s="6" customFormat="1" ht="12.75" x14ac:dyDescent="0.2"/>
    <row r="300" s="6" customFormat="1" ht="12.75" x14ac:dyDescent="0.2"/>
    <row r="301" s="6" customFormat="1" ht="12.75" x14ac:dyDescent="0.2"/>
    <row r="302" s="6" customFormat="1" ht="12.75" x14ac:dyDescent="0.2"/>
    <row r="303" s="6" customFormat="1" ht="12.75" x14ac:dyDescent="0.2"/>
    <row r="304" s="6" customFormat="1" ht="12.75" x14ac:dyDescent="0.2"/>
    <row r="305" s="6" customFormat="1" ht="12.75" x14ac:dyDescent="0.2"/>
    <row r="306" s="6" customFormat="1" ht="12.75" x14ac:dyDescent="0.2"/>
    <row r="307" s="6" customFormat="1" ht="12.75" x14ac:dyDescent="0.2"/>
    <row r="308" s="6" customFormat="1" ht="12.75" x14ac:dyDescent="0.2"/>
    <row r="309" s="6" customFormat="1" ht="12.75" x14ac:dyDescent="0.2"/>
    <row r="310" s="6" customFormat="1" ht="12.75" x14ac:dyDescent="0.2"/>
    <row r="311" s="6" customFormat="1" ht="12.75" x14ac:dyDescent="0.2"/>
    <row r="312" s="6" customFormat="1" ht="12.75" x14ac:dyDescent="0.2"/>
    <row r="313" s="6" customFormat="1" ht="12.75" x14ac:dyDescent="0.2"/>
    <row r="314" s="6" customFormat="1" ht="12.75" x14ac:dyDescent="0.2"/>
    <row r="315" s="6" customFormat="1" ht="12.75" x14ac:dyDescent="0.2"/>
    <row r="316" s="6" customFormat="1" ht="12.75" x14ac:dyDescent="0.2"/>
    <row r="317" s="6" customFormat="1" ht="12.75" x14ac:dyDescent="0.2"/>
    <row r="318" s="6" customFormat="1" ht="12.75" x14ac:dyDescent="0.2"/>
    <row r="319" s="6" customFormat="1" ht="12.75" x14ac:dyDescent="0.2"/>
    <row r="320" s="6" customFormat="1" ht="12.75" x14ac:dyDescent="0.2"/>
    <row r="321" s="6" customFormat="1" ht="12.75" x14ac:dyDescent="0.2"/>
    <row r="322" s="6" customFormat="1" ht="12.75" x14ac:dyDescent="0.2"/>
    <row r="323" s="6" customFormat="1" ht="12.75" x14ac:dyDescent="0.2"/>
    <row r="324" s="6" customFormat="1" ht="12.75" x14ac:dyDescent="0.2"/>
    <row r="325" s="6" customFormat="1" ht="12.75" x14ac:dyDescent="0.2"/>
    <row r="326" s="6" customFormat="1" ht="12.75" x14ac:dyDescent="0.2"/>
    <row r="327" s="6" customFormat="1" ht="12.75" x14ac:dyDescent="0.2"/>
    <row r="328" s="6" customFormat="1" ht="12.75" x14ac:dyDescent="0.2"/>
    <row r="329" s="6" customFormat="1" ht="12.75" x14ac:dyDescent="0.2"/>
    <row r="330" s="6" customFormat="1" ht="12.75" x14ac:dyDescent="0.2"/>
    <row r="331" s="6" customFormat="1" ht="12.75" x14ac:dyDescent="0.2"/>
    <row r="332" s="6" customFormat="1" ht="12.75" x14ac:dyDescent="0.2"/>
    <row r="333" s="6" customFormat="1" ht="12.75" x14ac:dyDescent="0.2"/>
    <row r="334" s="6" customFormat="1" ht="12.75" x14ac:dyDescent="0.2"/>
    <row r="335" s="6" customFormat="1" ht="12.75" x14ac:dyDescent="0.2"/>
    <row r="336" s="6" customFormat="1" ht="12.75" x14ac:dyDescent="0.2"/>
    <row r="337" s="6" customFormat="1" ht="12.75" x14ac:dyDescent="0.2"/>
    <row r="338" s="6" customFormat="1" ht="12.75" x14ac:dyDescent="0.2"/>
    <row r="339" s="6" customFormat="1" ht="12.75" x14ac:dyDescent="0.2"/>
    <row r="340" s="6" customFormat="1" ht="12.75" x14ac:dyDescent="0.2"/>
    <row r="341" s="6" customFormat="1" ht="12.75" x14ac:dyDescent="0.2"/>
    <row r="342" s="6" customFormat="1" ht="12.75" x14ac:dyDescent="0.2"/>
    <row r="343" s="6" customFormat="1" ht="12.75" x14ac:dyDescent="0.2"/>
    <row r="344" s="6" customFormat="1" ht="12.75" x14ac:dyDescent="0.2"/>
    <row r="345" s="6" customFormat="1" ht="12.75" x14ac:dyDescent="0.2"/>
    <row r="346" s="6" customFormat="1" ht="12.75" x14ac:dyDescent="0.2"/>
    <row r="347" s="6" customFormat="1" ht="12.75" x14ac:dyDescent="0.2"/>
    <row r="348" s="6" customFormat="1" ht="12.75" x14ac:dyDescent="0.2"/>
    <row r="349" s="6" customFormat="1" ht="12.75" x14ac:dyDescent="0.2"/>
    <row r="350" s="6" customFormat="1" ht="12.75" x14ac:dyDescent="0.2"/>
    <row r="351" s="6" customFormat="1" ht="12.75" x14ac:dyDescent="0.2"/>
    <row r="352" s="6" customFormat="1" ht="12.75" x14ac:dyDescent="0.2"/>
    <row r="353" s="6" customFormat="1" ht="12.75" x14ac:dyDescent="0.2"/>
    <row r="354" s="6" customFormat="1" ht="12.75" x14ac:dyDescent="0.2"/>
    <row r="355" s="6" customFormat="1" ht="12.75" x14ac:dyDescent="0.2"/>
    <row r="356" s="6" customFormat="1" ht="12.75" x14ac:dyDescent="0.2"/>
    <row r="357" s="6" customFormat="1" ht="12.75" x14ac:dyDescent="0.2"/>
    <row r="358" s="6" customFormat="1" ht="12.75" x14ac:dyDescent="0.2"/>
    <row r="359" s="6" customFormat="1" ht="12.75" x14ac:dyDescent="0.2"/>
    <row r="360" s="6" customFormat="1" ht="12.75" x14ac:dyDescent="0.2"/>
    <row r="361" s="6" customFormat="1" ht="12.75" x14ac:dyDescent="0.2"/>
    <row r="362" s="6" customFormat="1" ht="12.75" x14ac:dyDescent="0.2"/>
    <row r="363" s="6" customFormat="1" ht="12.75" x14ac:dyDescent="0.2"/>
    <row r="364" s="6" customFormat="1" ht="12.75" x14ac:dyDescent="0.2"/>
    <row r="365" s="6" customFormat="1" ht="12.75" x14ac:dyDescent="0.2"/>
    <row r="366" s="6" customFormat="1" ht="12.75" x14ac:dyDescent="0.2"/>
    <row r="367" s="6" customFormat="1" ht="12.75" x14ac:dyDescent="0.2"/>
    <row r="368" s="6" customFormat="1" ht="12.75" x14ac:dyDescent="0.2"/>
    <row r="369" s="6" customFormat="1" ht="12.75" x14ac:dyDescent="0.2"/>
    <row r="370" s="6" customFormat="1" ht="12.75" x14ac:dyDescent="0.2"/>
    <row r="371" s="6" customFormat="1" ht="12.75" x14ac:dyDescent="0.2"/>
    <row r="372" s="6" customFormat="1" ht="12.75" x14ac:dyDescent="0.2"/>
    <row r="373" s="6" customFormat="1" ht="12.75" x14ac:dyDescent="0.2"/>
    <row r="374" s="6" customFormat="1" ht="12.75" x14ac:dyDescent="0.2"/>
    <row r="375" s="6" customFormat="1" ht="12.75" x14ac:dyDescent="0.2"/>
    <row r="376" s="6" customFormat="1" ht="12.75" x14ac:dyDescent="0.2"/>
    <row r="377" s="6" customFormat="1" ht="12.75" x14ac:dyDescent="0.2"/>
    <row r="378" s="6" customFormat="1" ht="12.75" x14ac:dyDescent="0.2"/>
    <row r="379" s="6" customFormat="1" ht="12.75" x14ac:dyDescent="0.2"/>
    <row r="380" s="6" customFormat="1" ht="12.75" x14ac:dyDescent="0.2"/>
    <row r="381" s="6" customFormat="1" ht="12.75" x14ac:dyDescent="0.2"/>
    <row r="382" s="6" customFormat="1" ht="12.75" x14ac:dyDescent="0.2"/>
    <row r="383" s="6" customFormat="1" ht="12.75" x14ac:dyDescent="0.2"/>
    <row r="384" s="6" customFormat="1" ht="12.75" x14ac:dyDescent="0.2"/>
    <row r="385" s="6" customFormat="1" ht="12.75" x14ac:dyDescent="0.2"/>
    <row r="386" s="6" customFormat="1" ht="12.75" x14ac:dyDescent="0.2"/>
    <row r="387" s="6" customFormat="1" ht="12.75" x14ac:dyDescent="0.2"/>
    <row r="388" s="6" customFormat="1" ht="12.75" x14ac:dyDescent="0.2"/>
    <row r="389" s="6" customFormat="1" ht="12.75" x14ac:dyDescent="0.2"/>
    <row r="390" s="6" customFormat="1" ht="12.75" x14ac:dyDescent="0.2"/>
    <row r="391" s="6" customFormat="1" ht="12.75" x14ac:dyDescent="0.2"/>
    <row r="392" s="6" customFormat="1" ht="12.75" x14ac:dyDescent="0.2"/>
    <row r="393" s="6" customFormat="1" ht="12.75" x14ac:dyDescent="0.2"/>
    <row r="394" s="6" customFormat="1" ht="12.75" x14ac:dyDescent="0.2"/>
    <row r="395" s="6" customFormat="1" ht="12.75" x14ac:dyDescent="0.2"/>
    <row r="396" s="6" customFormat="1" ht="12.75" x14ac:dyDescent="0.2"/>
    <row r="397" s="6" customFormat="1" ht="12.75" x14ac:dyDescent="0.2"/>
    <row r="398" s="6" customFormat="1" ht="12.75" x14ac:dyDescent="0.2"/>
    <row r="399" s="6" customFormat="1" ht="12.75" x14ac:dyDescent="0.2"/>
    <row r="400" s="6" customFormat="1" ht="12.75" x14ac:dyDescent="0.2"/>
    <row r="401" s="6" customFormat="1" ht="12.75" x14ac:dyDescent="0.2"/>
    <row r="402" s="6" customFormat="1" ht="12.75" x14ac:dyDescent="0.2"/>
    <row r="403" s="6" customFormat="1" ht="12.75" x14ac:dyDescent="0.2"/>
    <row r="404" s="6" customFormat="1" ht="12.75" x14ac:dyDescent="0.2"/>
    <row r="405" s="6" customFormat="1" ht="12.75" x14ac:dyDescent="0.2"/>
    <row r="406" s="6" customFormat="1" ht="12.75" x14ac:dyDescent="0.2"/>
    <row r="407" s="6" customFormat="1" ht="12.75" x14ac:dyDescent="0.2"/>
    <row r="408" s="6" customFormat="1" ht="12.75" x14ac:dyDescent="0.2"/>
    <row r="409" s="6" customFormat="1" ht="12.75" x14ac:dyDescent="0.2"/>
    <row r="410" s="6" customFormat="1" ht="12.75" x14ac:dyDescent="0.2"/>
  </sheetData>
  <sheetProtection algorithmName="SHA-512" hashValue="li3p8qZJKAkL6VmFIoJkovQF/m1SxsCqOY4TM+Do+qAr8hlPXqEYnJP+UtoG3XgA2ni6okQ+3Japx6P9WVSR2A==" saltValue="Lh04/WCVnwip0zNSECp2XA==" spinCount="100000" sheet="1" objects="1" scenarios="1"/>
  <mergeCells count="8">
    <mergeCell ref="B184:G184"/>
    <mergeCell ref="B185:G185"/>
    <mergeCell ref="B1:G1"/>
    <mergeCell ref="B2:G2"/>
    <mergeCell ref="B64:G64"/>
    <mergeCell ref="B65:G65"/>
    <mergeCell ref="B124:G124"/>
    <mergeCell ref="B125:G1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Q71"/>
  <sheetViews>
    <sheetView workbookViewId="0"/>
  </sheetViews>
  <sheetFormatPr defaultRowHeight="15" x14ac:dyDescent="0.25"/>
  <cols>
    <col min="1" max="1" width="9.85546875" style="1" customWidth="1"/>
    <col min="2" max="2" width="32.28515625" style="1" customWidth="1"/>
    <col min="3" max="24" width="9.7109375" style="1" customWidth="1"/>
    <col min="25" max="25" width="6.7109375" style="2" customWidth="1"/>
    <col min="26" max="80" width="9.7109375" style="1" customWidth="1"/>
    <col min="81" max="81" width="6.7109375" style="2" customWidth="1"/>
    <col min="82" max="88" width="9.7109375" style="1" customWidth="1"/>
    <col min="89" max="89" width="6.7109375" style="2" customWidth="1"/>
    <col min="90" max="126" width="9.7109375" style="1" customWidth="1"/>
    <col min="127" max="145" width="9.7109375" style="2" customWidth="1"/>
    <col min="146" max="171" width="9.7109375" style="1" customWidth="1"/>
    <col min="172" max="181" width="6.7109375" style="1" customWidth="1"/>
    <col min="182" max="207" width="9.7109375" style="3" customWidth="1"/>
    <col min="208" max="213" width="10.7109375" style="4" customWidth="1"/>
    <col min="214" max="256" width="9.7109375" style="1" customWidth="1"/>
    <col min="295" max="295" width="11.5703125" bestFit="1" customWidth="1"/>
    <col min="296" max="296" width="10.85546875" bestFit="1" customWidth="1"/>
    <col min="297" max="297" width="11.140625" bestFit="1" customWidth="1"/>
    <col min="298" max="298" width="10" bestFit="1" customWidth="1"/>
    <col min="299" max="299" width="10.7109375" bestFit="1" customWidth="1"/>
    <col min="300" max="300" width="9.28515625" bestFit="1" customWidth="1"/>
    <col min="301" max="301" width="10.5703125" bestFit="1" customWidth="1"/>
    <col min="302" max="302" width="10.85546875" bestFit="1" customWidth="1"/>
    <col min="303" max="303" width="12" bestFit="1" customWidth="1"/>
    <col min="304" max="304" width="9.85546875" bestFit="1" customWidth="1"/>
    <col min="305" max="305" width="11" bestFit="1" customWidth="1"/>
    <col min="306" max="307" width="10.7109375" bestFit="1" customWidth="1"/>
    <col min="308" max="308" width="11.42578125" bestFit="1" customWidth="1"/>
    <col min="309" max="310" width="11.140625" bestFit="1" customWidth="1"/>
    <col min="313" max="313" width="10.42578125" bestFit="1" customWidth="1"/>
    <col min="314" max="314" width="10.28515625" bestFit="1" customWidth="1"/>
    <col min="315" max="316" width="10.42578125" bestFit="1" customWidth="1"/>
    <col min="317" max="317" width="10.85546875" bestFit="1" customWidth="1"/>
    <col min="318" max="318" width="10.7109375" bestFit="1" customWidth="1"/>
  </cols>
  <sheetData>
    <row r="1" spans="1:329" x14ac:dyDescent="0.25">
      <c r="A1" s="1" t="s">
        <v>256</v>
      </c>
      <c r="B1" s="1" t="s">
        <v>255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141</v>
      </c>
      <c r="EO1" t="s">
        <v>142</v>
      </c>
      <c r="EP1" t="s">
        <v>143</v>
      </c>
      <c r="EQ1" t="s">
        <v>144</v>
      </c>
      <c r="ER1" t="s">
        <v>145</v>
      </c>
      <c r="ES1" t="s">
        <v>146</v>
      </c>
      <c r="ET1" t="s">
        <v>147</v>
      </c>
      <c r="EU1" t="s">
        <v>148</v>
      </c>
      <c r="EV1" t="s">
        <v>149</v>
      </c>
      <c r="EW1" t="s">
        <v>150</v>
      </c>
      <c r="EX1" t="s">
        <v>151</v>
      </c>
      <c r="EY1" t="s">
        <v>152</v>
      </c>
      <c r="EZ1" t="s">
        <v>153</v>
      </c>
      <c r="FA1" t="s">
        <v>154</v>
      </c>
      <c r="FB1" t="s">
        <v>155</v>
      </c>
      <c r="FC1" t="s">
        <v>156</v>
      </c>
      <c r="FD1" t="s">
        <v>157</v>
      </c>
      <c r="FE1" t="s">
        <v>158</v>
      </c>
      <c r="FF1" t="s">
        <v>159</v>
      </c>
      <c r="FG1" t="s">
        <v>160</v>
      </c>
      <c r="FH1" t="s">
        <v>161</v>
      </c>
      <c r="FI1" t="s">
        <v>162</v>
      </c>
      <c r="FJ1" t="s">
        <v>163</v>
      </c>
      <c r="FK1" t="s">
        <v>164</v>
      </c>
      <c r="FL1" t="s">
        <v>165</v>
      </c>
      <c r="FM1" t="s">
        <v>166</v>
      </c>
      <c r="FN1" t="s">
        <v>167</v>
      </c>
      <c r="FO1" t="s">
        <v>168</v>
      </c>
      <c r="FP1" t="s">
        <v>169</v>
      </c>
      <c r="FQ1" t="s">
        <v>170</v>
      </c>
      <c r="FR1" t="s">
        <v>171</v>
      </c>
      <c r="FS1" t="s">
        <v>172</v>
      </c>
      <c r="FT1" t="s">
        <v>173</v>
      </c>
      <c r="FU1" t="s">
        <v>174</v>
      </c>
      <c r="FV1" t="s">
        <v>175</v>
      </c>
      <c r="FW1" t="s">
        <v>176</v>
      </c>
      <c r="FX1" t="s">
        <v>177</v>
      </c>
      <c r="FY1" t="s">
        <v>178</v>
      </c>
      <c r="FZ1" t="s">
        <v>179</v>
      </c>
      <c r="GA1" t="s">
        <v>180</v>
      </c>
      <c r="GB1" t="s">
        <v>181</v>
      </c>
      <c r="GC1" t="s">
        <v>182</v>
      </c>
      <c r="GD1" t="s">
        <v>183</v>
      </c>
      <c r="GE1" t="s">
        <v>184</v>
      </c>
      <c r="GF1" t="s">
        <v>185</v>
      </c>
      <c r="GG1" t="s">
        <v>186</v>
      </c>
      <c r="GH1" t="s">
        <v>187</v>
      </c>
      <c r="GI1" t="s">
        <v>188</v>
      </c>
      <c r="GJ1" t="s">
        <v>189</v>
      </c>
      <c r="GK1" t="s">
        <v>190</v>
      </c>
      <c r="GL1" t="s">
        <v>191</v>
      </c>
      <c r="GM1" t="s">
        <v>192</v>
      </c>
      <c r="GN1" t="s">
        <v>193</v>
      </c>
      <c r="GO1" t="s">
        <v>194</v>
      </c>
      <c r="GP1" t="s">
        <v>195</v>
      </c>
      <c r="GQ1" t="s">
        <v>196</v>
      </c>
      <c r="GR1" t="s">
        <v>197</v>
      </c>
      <c r="GS1" t="s">
        <v>198</v>
      </c>
      <c r="GT1" t="s">
        <v>199</v>
      </c>
      <c r="GU1" t="s">
        <v>200</v>
      </c>
      <c r="GV1" t="s">
        <v>201</v>
      </c>
      <c r="GW1" t="s">
        <v>202</v>
      </c>
      <c r="GX1" t="s">
        <v>203</v>
      </c>
      <c r="GY1" t="s">
        <v>204</v>
      </c>
      <c r="GZ1" t="s">
        <v>205</v>
      </c>
      <c r="HA1" t="s">
        <v>206</v>
      </c>
      <c r="HB1" t="s">
        <v>207</v>
      </c>
      <c r="HC1" t="s">
        <v>208</v>
      </c>
      <c r="HD1" t="s">
        <v>209</v>
      </c>
      <c r="HE1" t="s">
        <v>210</v>
      </c>
      <c r="HF1" t="s">
        <v>211</v>
      </c>
      <c r="HG1" t="s">
        <v>212</v>
      </c>
      <c r="HH1" t="s">
        <v>213</v>
      </c>
      <c r="HI1" t="s">
        <v>214</v>
      </c>
      <c r="HJ1" t="s">
        <v>215</v>
      </c>
      <c r="HK1" t="s">
        <v>216</v>
      </c>
      <c r="HL1" t="s">
        <v>217</v>
      </c>
      <c r="HM1" t="s">
        <v>218</v>
      </c>
      <c r="HN1" t="s">
        <v>219</v>
      </c>
      <c r="HO1" t="s">
        <v>220</v>
      </c>
      <c r="HP1" t="s">
        <v>221</v>
      </c>
      <c r="HQ1" t="s">
        <v>222</v>
      </c>
      <c r="HR1" t="s">
        <v>223</v>
      </c>
      <c r="HS1" t="s">
        <v>224</v>
      </c>
      <c r="HT1" t="s">
        <v>225</v>
      </c>
      <c r="HU1" t="s">
        <v>226</v>
      </c>
      <c r="HV1" t="s">
        <v>227</v>
      </c>
      <c r="HW1" t="s">
        <v>228</v>
      </c>
      <c r="HX1" t="s">
        <v>229</v>
      </c>
      <c r="HY1" t="s">
        <v>230</v>
      </c>
      <c r="HZ1" t="s">
        <v>231</v>
      </c>
      <c r="IA1" t="s">
        <v>232</v>
      </c>
      <c r="IB1" t="s">
        <v>233</v>
      </c>
      <c r="IC1" t="s">
        <v>234</v>
      </c>
      <c r="ID1" t="s">
        <v>235</v>
      </c>
      <c r="IE1" t="s">
        <v>236</v>
      </c>
      <c r="IF1" t="s">
        <v>237</v>
      </c>
      <c r="IG1" t="s">
        <v>238</v>
      </c>
      <c r="IH1" t="s">
        <v>239</v>
      </c>
      <c r="II1" t="s">
        <v>240</v>
      </c>
      <c r="IJ1" t="s">
        <v>241</v>
      </c>
      <c r="IK1" t="s">
        <v>242</v>
      </c>
      <c r="IL1" t="s">
        <v>243</v>
      </c>
      <c r="IM1" t="s">
        <v>244</v>
      </c>
      <c r="IN1" t="s">
        <v>245</v>
      </c>
      <c r="IO1" t="s">
        <v>246</v>
      </c>
      <c r="IP1" t="s">
        <v>247</v>
      </c>
      <c r="IQ1" t="s">
        <v>248</v>
      </c>
      <c r="IR1" t="s">
        <v>249</v>
      </c>
      <c r="IS1" t="s">
        <v>250</v>
      </c>
      <c r="IT1" t="s">
        <v>251</v>
      </c>
      <c r="IU1" t="s">
        <v>252</v>
      </c>
      <c r="IV1" t="s">
        <v>253</v>
      </c>
      <c r="IW1" t="s">
        <v>393</v>
      </c>
      <c r="IX1" t="s">
        <v>394</v>
      </c>
      <c r="IY1" t="s">
        <v>395</v>
      </c>
      <c r="IZ1" t="s">
        <v>396</v>
      </c>
      <c r="JA1" t="s">
        <v>397</v>
      </c>
      <c r="JB1" t="s">
        <v>398</v>
      </c>
      <c r="JC1" t="s">
        <v>399</v>
      </c>
      <c r="JD1" t="s">
        <v>400</v>
      </c>
      <c r="JE1" t="s">
        <v>401</v>
      </c>
      <c r="JF1" t="s">
        <v>402</v>
      </c>
      <c r="JG1" t="s">
        <v>403</v>
      </c>
      <c r="JH1" t="s">
        <v>404</v>
      </c>
      <c r="JI1" t="s">
        <v>405</v>
      </c>
      <c r="JJ1" t="s">
        <v>406</v>
      </c>
      <c r="JK1" t="s">
        <v>407</v>
      </c>
      <c r="JL1" t="s">
        <v>408</v>
      </c>
      <c r="JM1" t="s">
        <v>409</v>
      </c>
      <c r="JN1" t="s">
        <v>410</v>
      </c>
      <c r="JO1" t="s">
        <v>411</v>
      </c>
      <c r="JP1" t="s">
        <v>412</v>
      </c>
      <c r="JQ1" t="s">
        <v>413</v>
      </c>
      <c r="JR1" t="s">
        <v>414</v>
      </c>
      <c r="JS1" t="s">
        <v>415</v>
      </c>
      <c r="JT1" t="s">
        <v>416</v>
      </c>
      <c r="JU1" t="s">
        <v>417</v>
      </c>
      <c r="JV1" t="s">
        <v>418</v>
      </c>
      <c r="JW1" t="s">
        <v>419</v>
      </c>
      <c r="JX1" t="s">
        <v>420</v>
      </c>
      <c r="JY1" t="s">
        <v>421</v>
      </c>
      <c r="JZ1" t="s">
        <v>422</v>
      </c>
      <c r="KA1" t="s">
        <v>423</v>
      </c>
      <c r="KB1" t="s">
        <v>424</v>
      </c>
      <c r="KC1" t="s">
        <v>425</v>
      </c>
      <c r="KD1" t="s">
        <v>426</v>
      </c>
      <c r="KE1" t="s">
        <v>427</v>
      </c>
      <c r="KF1" t="s">
        <v>428</v>
      </c>
      <c r="KG1" t="s">
        <v>429</v>
      </c>
      <c r="KH1" t="s">
        <v>430</v>
      </c>
      <c r="KI1" t="s">
        <v>431</v>
      </c>
      <c r="KJ1" t="s">
        <v>432</v>
      </c>
      <c r="KK1" t="s">
        <v>433</v>
      </c>
      <c r="KL1" t="s">
        <v>434</v>
      </c>
      <c r="KM1" t="s">
        <v>435</v>
      </c>
      <c r="KN1" t="s">
        <v>436</v>
      </c>
      <c r="KO1" t="s">
        <v>437</v>
      </c>
      <c r="KP1" t="s">
        <v>438</v>
      </c>
      <c r="KQ1" t="s">
        <v>439</v>
      </c>
      <c r="KR1" t="s">
        <v>440</v>
      </c>
      <c r="KS1" t="s">
        <v>441</v>
      </c>
      <c r="KT1" t="s">
        <v>442</v>
      </c>
      <c r="KU1" t="s">
        <v>443</v>
      </c>
      <c r="KV1" t="s">
        <v>444</v>
      </c>
      <c r="KW1" t="s">
        <v>445</v>
      </c>
      <c r="KX1" t="s">
        <v>446</v>
      </c>
      <c r="KY1" t="s">
        <v>447</v>
      </c>
      <c r="KZ1" t="s">
        <v>448</v>
      </c>
      <c r="LA1" t="s">
        <v>449</v>
      </c>
      <c r="LB1" t="s">
        <v>450</v>
      </c>
      <c r="LC1" t="s">
        <v>451</v>
      </c>
      <c r="LD1" t="s">
        <v>452</v>
      </c>
      <c r="LE1" t="s">
        <v>453</v>
      </c>
      <c r="LF1" t="s">
        <v>454</v>
      </c>
      <c r="LG1" t="s">
        <v>455</v>
      </c>
      <c r="LH1" t="s">
        <v>456</v>
      </c>
      <c r="LI1" t="s">
        <v>457</v>
      </c>
      <c r="LJ1" t="s">
        <v>458</v>
      </c>
      <c r="LK1" t="s">
        <v>459</v>
      </c>
      <c r="LL1" t="s">
        <v>460</v>
      </c>
      <c r="LM1" t="s">
        <v>461</v>
      </c>
      <c r="LN1" t="s">
        <v>462</v>
      </c>
      <c r="LO1" t="s">
        <v>463</v>
      </c>
      <c r="LP1" t="s">
        <v>790</v>
      </c>
      <c r="LQ1" t="s">
        <v>791</v>
      </c>
    </row>
    <row r="2" spans="1:329" x14ac:dyDescent="0.25">
      <c r="A2" s="5" t="s">
        <v>257</v>
      </c>
      <c r="B2" s="5" t="s">
        <v>258</v>
      </c>
      <c r="C2" s="1">
        <v>3213450</v>
      </c>
      <c r="D2" s="1">
        <v>3647057</v>
      </c>
      <c r="E2" s="1">
        <v>3845273</v>
      </c>
      <c r="F2" s="1">
        <v>4047677</v>
      </c>
      <c r="G2" s="1">
        <v>4138967</v>
      </c>
      <c r="H2" s="1">
        <v>1134410</v>
      </c>
      <c r="I2" s="1">
        <v>1284220</v>
      </c>
      <c r="J2" s="1">
        <v>1349048</v>
      </c>
      <c r="K2" s="1">
        <v>1443716</v>
      </c>
      <c r="L2" s="1">
        <v>1493639</v>
      </c>
      <c r="M2" s="1">
        <v>1495185</v>
      </c>
      <c r="N2" s="1">
        <v>1281008</v>
      </c>
      <c r="O2" s="1">
        <v>162708</v>
      </c>
      <c r="P2" s="1">
        <v>51469</v>
      </c>
      <c r="Q2" s="1">
        <v>80298</v>
      </c>
      <c r="R2" s="1">
        <v>25877</v>
      </c>
      <c r="S2" s="1">
        <v>31</v>
      </c>
      <c r="T2" s="1">
        <v>3635133</v>
      </c>
      <c r="U2" s="1">
        <v>367746</v>
      </c>
      <c r="V2" s="1">
        <v>44798</v>
      </c>
      <c r="W2" s="1">
        <v>13867</v>
      </c>
      <c r="X2" s="1">
        <v>378</v>
      </c>
      <c r="Y2" s="2">
        <v>44.27</v>
      </c>
      <c r="Z2" s="1">
        <v>200677</v>
      </c>
      <c r="AA2" s="1">
        <v>273419</v>
      </c>
      <c r="AB2" s="1">
        <v>313863</v>
      </c>
      <c r="AC2" s="1">
        <v>271535</v>
      </c>
      <c r="AD2" s="1">
        <v>159831</v>
      </c>
      <c r="AE2" s="1">
        <v>138697</v>
      </c>
      <c r="AF2" s="1">
        <v>157536</v>
      </c>
      <c r="AG2" s="1">
        <v>226557</v>
      </c>
      <c r="AH2" s="1">
        <v>265003</v>
      </c>
      <c r="AI2" s="1">
        <v>310937</v>
      </c>
      <c r="AJ2" s="1">
        <v>322713</v>
      </c>
      <c r="AK2" s="1">
        <v>342709</v>
      </c>
      <c r="AL2" s="1">
        <v>317859</v>
      </c>
      <c r="AM2" s="1">
        <v>260910</v>
      </c>
      <c r="AN2" s="1">
        <v>193483</v>
      </c>
      <c r="AO2" s="1">
        <v>124850</v>
      </c>
      <c r="AP2" s="1">
        <v>78755</v>
      </c>
      <c r="AQ2" s="1">
        <v>88341</v>
      </c>
      <c r="AR2" s="1">
        <v>1989223</v>
      </c>
      <c r="AS2" s="1">
        <v>2058454</v>
      </c>
      <c r="AT2" s="1">
        <v>3160843</v>
      </c>
      <c r="AU2" s="1">
        <v>142552</v>
      </c>
      <c r="AV2" s="1">
        <v>4506</v>
      </c>
      <c r="AW2" s="1">
        <v>373851</v>
      </c>
      <c r="AX2" s="1">
        <v>1647</v>
      </c>
      <c r="AY2" s="1">
        <v>4824</v>
      </c>
      <c r="AZ2" s="1">
        <v>79898</v>
      </c>
      <c r="BA2" s="1">
        <v>279822</v>
      </c>
      <c r="BB2" s="1">
        <v>3259717</v>
      </c>
      <c r="BC2" s="1">
        <v>748407</v>
      </c>
      <c r="BD2" s="1">
        <v>2098521</v>
      </c>
      <c r="BE2" s="1">
        <v>80438</v>
      </c>
      <c r="BF2" s="1">
        <v>142317</v>
      </c>
      <c r="BG2" s="1">
        <v>190034</v>
      </c>
      <c r="BH2" s="1">
        <v>2828351</v>
      </c>
      <c r="BI2" s="1">
        <v>32435</v>
      </c>
      <c r="BJ2" s="1">
        <v>39620</v>
      </c>
      <c r="BK2" s="1">
        <v>254919</v>
      </c>
      <c r="BL2" s="1">
        <v>303497</v>
      </c>
      <c r="BM2" s="1">
        <v>133722</v>
      </c>
      <c r="BN2" s="1">
        <v>1004258</v>
      </c>
      <c r="BO2" s="1">
        <v>1059900</v>
      </c>
      <c r="BP2" s="1">
        <v>3197275</v>
      </c>
      <c r="BQ2" s="1">
        <v>4196</v>
      </c>
      <c r="BR2" s="1">
        <v>1988666</v>
      </c>
      <c r="BS2" s="1">
        <v>45137</v>
      </c>
      <c r="BT2" s="1">
        <v>1159276</v>
      </c>
      <c r="BU2" s="1">
        <v>1145704</v>
      </c>
      <c r="BV2" s="1">
        <v>298012</v>
      </c>
      <c r="BW2" s="1">
        <v>462405</v>
      </c>
      <c r="BX2" s="1">
        <v>17135</v>
      </c>
      <c r="BY2" s="1">
        <v>45479</v>
      </c>
      <c r="BZ2" s="1">
        <v>564513</v>
      </c>
      <c r="CA2" s="1">
        <v>16666</v>
      </c>
      <c r="CB2" s="1">
        <v>39187</v>
      </c>
      <c r="CC2" s="2">
        <v>2.77</v>
      </c>
      <c r="CD2" s="1">
        <v>244041</v>
      </c>
      <c r="CE2" s="1">
        <v>513062</v>
      </c>
      <c r="CF2" s="1">
        <v>245060</v>
      </c>
      <c r="CG2" s="1">
        <v>272632</v>
      </c>
      <c r="CH2" s="1">
        <v>121570</v>
      </c>
      <c r="CI2" s="1">
        <v>35028</v>
      </c>
      <c r="CJ2" s="1">
        <v>12323</v>
      </c>
      <c r="CK2" s="2">
        <v>55.31</v>
      </c>
      <c r="CL2" s="1">
        <v>25203</v>
      </c>
      <c r="CM2" s="1">
        <v>109349</v>
      </c>
      <c r="CN2" s="1">
        <v>228602</v>
      </c>
      <c r="CO2" s="1">
        <v>313584</v>
      </c>
      <c r="CP2" s="1">
        <v>344387</v>
      </c>
      <c r="CQ2" s="1">
        <v>249973</v>
      </c>
      <c r="CR2" s="1">
        <v>119671</v>
      </c>
      <c r="CS2" s="1">
        <v>52947</v>
      </c>
      <c r="CT2" s="1">
        <v>39388</v>
      </c>
      <c r="CU2" s="1">
        <v>269979</v>
      </c>
      <c r="CV2" s="1">
        <v>1134349</v>
      </c>
      <c r="CW2" s="1">
        <v>95379</v>
      </c>
      <c r="CX2" s="1">
        <v>171392</v>
      </c>
      <c r="CY2" s="1">
        <v>193114</v>
      </c>
      <c r="CZ2" s="1">
        <v>27120</v>
      </c>
      <c r="DA2" s="1">
        <v>13609</v>
      </c>
      <c r="DB2" s="1">
        <v>15441</v>
      </c>
      <c r="DC2" s="1">
        <v>18610</v>
      </c>
      <c r="DD2" s="1">
        <v>17827</v>
      </c>
      <c r="DE2" s="1">
        <v>18997</v>
      </c>
      <c r="DF2" s="1">
        <v>19527</v>
      </c>
      <c r="DG2" s="1">
        <v>21002</v>
      </c>
      <c r="DH2" s="1">
        <v>20943</v>
      </c>
      <c r="DI2" s="1">
        <v>45098</v>
      </c>
      <c r="DJ2" s="1">
        <v>68041</v>
      </c>
      <c r="DK2" s="1">
        <v>119742</v>
      </c>
      <c r="DL2" s="1">
        <v>104731</v>
      </c>
      <c r="DM2" s="1">
        <v>123712</v>
      </c>
      <c r="DN2" s="1">
        <v>204407</v>
      </c>
      <c r="DO2" s="1">
        <v>604909</v>
      </c>
      <c r="DP2" s="1">
        <v>87161</v>
      </c>
      <c r="DQ2" s="1">
        <v>120855</v>
      </c>
      <c r="DR2" s="1">
        <v>179396</v>
      </c>
      <c r="DS2" s="1">
        <v>211164</v>
      </c>
      <c r="DT2" s="1">
        <v>192833</v>
      </c>
      <c r="DU2" s="1">
        <v>148809</v>
      </c>
      <c r="DV2" s="1">
        <v>121608</v>
      </c>
      <c r="DW2" s="2">
        <v>154142.15</v>
      </c>
      <c r="DX2" s="2">
        <v>71580.509999999995</v>
      </c>
      <c r="DY2" s="2">
        <v>5936.45</v>
      </c>
      <c r="DZ2" s="2">
        <v>1261.72</v>
      </c>
      <c r="EA2" s="2">
        <v>5661.05</v>
      </c>
      <c r="EB2" s="2">
        <v>6076.34</v>
      </c>
      <c r="EC2" s="2">
        <v>9210.2000000000007</v>
      </c>
      <c r="ED2" s="2">
        <v>21758.07</v>
      </c>
      <c r="EE2" s="2">
        <v>12076</v>
      </c>
      <c r="EF2" s="2">
        <v>5648.06</v>
      </c>
      <c r="EG2" s="2">
        <v>32164.639999999999</v>
      </c>
      <c r="EH2" s="2">
        <v>6401.46</v>
      </c>
      <c r="EI2" s="2">
        <v>2966.16</v>
      </c>
      <c r="EJ2" s="2">
        <v>2053.06</v>
      </c>
      <c r="EK2" s="2">
        <v>346.66</v>
      </c>
      <c r="EL2" s="2">
        <v>659.39</v>
      </c>
      <c r="EM2" s="2">
        <v>27252.7</v>
      </c>
      <c r="EN2" s="2">
        <v>9993.3799999999992</v>
      </c>
      <c r="EO2" s="2">
        <v>4676.8100000000004</v>
      </c>
      <c r="EP2" s="1">
        <v>139934</v>
      </c>
      <c r="EQ2" s="1">
        <v>14731</v>
      </c>
      <c r="ER2" s="1">
        <v>2591</v>
      </c>
      <c r="ES2" s="1">
        <v>44998</v>
      </c>
      <c r="ET2" s="1">
        <v>212025</v>
      </c>
      <c r="EU2" s="1">
        <v>340278</v>
      </c>
      <c r="EV2" s="1">
        <v>411202</v>
      </c>
      <c r="EW2" s="1">
        <v>21716</v>
      </c>
      <c r="EX2" s="1">
        <v>93021</v>
      </c>
      <c r="EY2" s="1">
        <v>13428</v>
      </c>
      <c r="EZ2" s="1">
        <v>1289546</v>
      </c>
      <c r="FA2" s="1">
        <v>37576</v>
      </c>
      <c r="FB2" s="1">
        <v>1620682</v>
      </c>
      <c r="FC2" s="1">
        <v>187813</v>
      </c>
      <c r="FD2" s="1">
        <v>85135</v>
      </c>
      <c r="FE2" s="1">
        <v>598781</v>
      </c>
      <c r="FF2" s="1">
        <v>17807</v>
      </c>
      <c r="FG2" s="1">
        <v>1452276</v>
      </c>
      <c r="FH2" s="1">
        <v>542606</v>
      </c>
      <c r="FI2" s="1">
        <v>20867</v>
      </c>
      <c r="FJ2" s="1">
        <v>4014</v>
      </c>
      <c r="FK2" s="1">
        <v>3838</v>
      </c>
      <c r="FL2" s="1">
        <v>34349</v>
      </c>
      <c r="FM2" s="1">
        <v>4490</v>
      </c>
      <c r="FN2" s="1">
        <v>228164</v>
      </c>
      <c r="FO2" s="1">
        <v>2522906</v>
      </c>
      <c r="FP2" s="1">
        <v>52</v>
      </c>
      <c r="FQ2" s="1">
        <v>35</v>
      </c>
      <c r="FR2" s="1">
        <v>33</v>
      </c>
      <c r="FS2" s="1">
        <v>54</v>
      </c>
      <c r="FT2" s="1">
        <v>35</v>
      </c>
      <c r="FU2" s="1">
        <v>31</v>
      </c>
      <c r="FV2" s="1">
        <v>55</v>
      </c>
      <c r="FW2" s="1">
        <v>44</v>
      </c>
      <c r="FX2" s="1">
        <v>60</v>
      </c>
      <c r="FY2" s="1">
        <v>37</v>
      </c>
      <c r="FZ2" s="3">
        <v>3.2759999999999998</v>
      </c>
      <c r="GA2" s="3">
        <v>1.238</v>
      </c>
      <c r="GB2" s="3">
        <v>7.5999999999999998E-2</v>
      </c>
      <c r="GC2" s="3">
        <v>4.8000000000000001E-2</v>
      </c>
      <c r="GD2" s="3">
        <v>-1.726</v>
      </c>
      <c r="GE2" s="3">
        <v>0.02</v>
      </c>
      <c r="GF2" s="3">
        <v>-4.4999999999999998E-2</v>
      </c>
      <c r="GG2" s="3">
        <v>-0.23699999999999999</v>
      </c>
      <c r="GH2" s="3">
        <v>-6.7000000000000004E-2</v>
      </c>
      <c r="GI2" s="3">
        <v>-0.34100000000000003</v>
      </c>
      <c r="GJ2" s="3">
        <v>4.3999999999999997E-2</v>
      </c>
      <c r="GK2" s="3">
        <v>0.03</v>
      </c>
      <c r="GL2" s="3">
        <v>-0.28999999999999998</v>
      </c>
      <c r="GM2" s="3">
        <v>0.751</v>
      </c>
      <c r="GN2" s="3">
        <v>-6.7000000000000004E-2</v>
      </c>
      <c r="GO2" s="3">
        <v>-9.0999999999999998E-2</v>
      </c>
      <c r="GP2" s="3">
        <v>0.997</v>
      </c>
      <c r="GQ2" s="3">
        <v>2.5999999999999999E-2</v>
      </c>
      <c r="GR2" s="3">
        <v>0.30199999999999999</v>
      </c>
      <c r="GS2" s="3">
        <v>-0.29499999999999998</v>
      </c>
      <c r="GT2" s="3">
        <v>-0.01</v>
      </c>
      <c r="GU2" s="3">
        <v>-0.64400000000000002</v>
      </c>
      <c r="GV2" s="3">
        <v>5.3999999999999999E-2</v>
      </c>
      <c r="GW2" s="3">
        <v>0.39700000000000002</v>
      </c>
      <c r="GX2" s="3">
        <v>1E-3</v>
      </c>
      <c r="GY2" s="3">
        <v>0.17399999999999999</v>
      </c>
      <c r="GZ2" s="4">
        <v>129</v>
      </c>
      <c r="HA2" s="4">
        <v>128</v>
      </c>
      <c r="HB2" s="4">
        <v>139</v>
      </c>
      <c r="HC2" s="4">
        <v>136</v>
      </c>
      <c r="HD2" s="4">
        <v>133</v>
      </c>
      <c r="HE2" s="4">
        <v>106</v>
      </c>
      <c r="HF2" s="1">
        <v>4030</v>
      </c>
      <c r="HG2" s="1">
        <v>2563</v>
      </c>
      <c r="HH2" s="1">
        <v>2180</v>
      </c>
      <c r="HI2" s="1">
        <v>2282</v>
      </c>
      <c r="HJ2" s="1">
        <v>1982</v>
      </c>
      <c r="HK2" s="1">
        <v>2451</v>
      </c>
      <c r="HL2" s="1">
        <v>1394</v>
      </c>
      <c r="HM2" s="1">
        <v>4350</v>
      </c>
      <c r="HN2" s="1">
        <v>5502</v>
      </c>
      <c r="HO2" s="1">
        <v>5841</v>
      </c>
      <c r="HP2" s="1">
        <v>7116</v>
      </c>
      <c r="HQ2" s="1">
        <v>8321</v>
      </c>
      <c r="HR2" s="1">
        <v>8047</v>
      </c>
      <c r="HS2" s="1">
        <v>22714</v>
      </c>
      <c r="HT2" s="1">
        <v>20685</v>
      </c>
      <c r="HU2" s="1">
        <v>31378</v>
      </c>
      <c r="HV2" s="1">
        <v>26567</v>
      </c>
      <c r="HW2" s="1">
        <v>62784</v>
      </c>
      <c r="HX2" s="1">
        <v>63868</v>
      </c>
      <c r="HY2" s="1">
        <v>130768</v>
      </c>
      <c r="HZ2" s="1">
        <v>114394</v>
      </c>
      <c r="IA2" s="1">
        <v>249478</v>
      </c>
      <c r="IB2" s="1">
        <v>168184</v>
      </c>
      <c r="IC2" s="1">
        <v>258451</v>
      </c>
      <c r="ID2" s="1">
        <v>573601</v>
      </c>
      <c r="IE2" s="1">
        <v>1357</v>
      </c>
      <c r="IF2" s="1">
        <v>1281</v>
      </c>
      <c r="IG2" s="1">
        <v>1137</v>
      </c>
      <c r="IH2" s="1">
        <v>1378</v>
      </c>
      <c r="II2" s="1">
        <v>1241</v>
      </c>
      <c r="IJ2" s="1">
        <v>1253</v>
      </c>
      <c r="IK2" s="1">
        <v>1367</v>
      </c>
      <c r="IL2" s="1">
        <v>1869</v>
      </c>
      <c r="IM2" s="1">
        <v>1798</v>
      </c>
      <c r="IN2" s="1">
        <v>2518</v>
      </c>
      <c r="IO2" s="1">
        <v>2225</v>
      </c>
      <c r="IP2" s="1">
        <v>3060</v>
      </c>
      <c r="IQ2" s="1">
        <v>2765</v>
      </c>
      <c r="IR2" s="1">
        <v>3524</v>
      </c>
      <c r="IS2" s="1">
        <v>2819</v>
      </c>
      <c r="IT2" s="1">
        <v>7846</v>
      </c>
      <c r="IU2" s="1">
        <v>7167</v>
      </c>
      <c r="IV2" s="1">
        <v>20120</v>
      </c>
      <c r="IW2">
        <v>11961</v>
      </c>
      <c r="IX2">
        <v>20123</v>
      </c>
      <c r="IY2">
        <v>27342</v>
      </c>
      <c r="IZ2">
        <v>10261</v>
      </c>
      <c r="JA2">
        <v>1310</v>
      </c>
      <c r="JB2">
        <v>945595</v>
      </c>
      <c r="JC2">
        <v>43450</v>
      </c>
      <c r="JD2">
        <v>7552</v>
      </c>
      <c r="JE2">
        <v>4667</v>
      </c>
      <c r="JF2">
        <v>3936</v>
      </c>
      <c r="JG2">
        <v>4013</v>
      </c>
      <c r="JH2">
        <v>6413</v>
      </c>
      <c r="JI2">
        <v>10174</v>
      </c>
      <c r="JJ2">
        <v>5816</v>
      </c>
      <c r="JK2">
        <v>80</v>
      </c>
      <c r="JL2">
        <v>51234</v>
      </c>
      <c r="JM2">
        <v>8279</v>
      </c>
      <c r="JN2">
        <v>11058</v>
      </c>
      <c r="JO2">
        <v>10221</v>
      </c>
      <c r="JP2">
        <v>9507</v>
      </c>
      <c r="JQ2">
        <v>9199</v>
      </c>
      <c r="JR2">
        <v>8653</v>
      </c>
      <c r="JS2">
        <v>13870</v>
      </c>
      <c r="JT2">
        <v>1026</v>
      </c>
      <c r="JU2">
        <v>184</v>
      </c>
      <c r="JV2">
        <v>50562</v>
      </c>
      <c r="JW2">
        <v>68666</v>
      </c>
      <c r="JX2">
        <v>132911</v>
      </c>
      <c r="JY2">
        <v>137887</v>
      </c>
      <c r="JZ2">
        <v>134485</v>
      </c>
      <c r="KA2">
        <v>145094</v>
      </c>
      <c r="KB2">
        <v>184522</v>
      </c>
      <c r="KC2">
        <v>78749</v>
      </c>
      <c r="KD2">
        <v>222051</v>
      </c>
      <c r="KE2">
        <v>5127</v>
      </c>
      <c r="KF2">
        <v>3617</v>
      </c>
      <c r="KG2">
        <v>52450</v>
      </c>
      <c r="KH2">
        <v>109077</v>
      </c>
      <c r="KI2">
        <v>47620</v>
      </c>
      <c r="KJ2">
        <v>107097</v>
      </c>
      <c r="KK2">
        <v>26062</v>
      </c>
      <c r="KL2">
        <v>7543</v>
      </c>
      <c r="KM2">
        <v>52616</v>
      </c>
      <c r="KN2">
        <v>147462</v>
      </c>
      <c r="KO2">
        <v>54707</v>
      </c>
      <c r="KP2">
        <v>264644</v>
      </c>
      <c r="KQ2">
        <v>2082</v>
      </c>
      <c r="KR2">
        <v>40629</v>
      </c>
      <c r="KS2">
        <v>152374</v>
      </c>
      <c r="KT2">
        <v>204970</v>
      </c>
      <c r="KU2">
        <v>37944</v>
      </c>
      <c r="KV2">
        <v>44697</v>
      </c>
      <c r="KW2">
        <v>57691</v>
      </c>
      <c r="KX2">
        <v>62167</v>
      </c>
      <c r="KY2">
        <v>846382</v>
      </c>
      <c r="KZ2">
        <v>163391</v>
      </c>
      <c r="LA2">
        <v>145884</v>
      </c>
      <c r="LB2">
        <v>87169</v>
      </c>
      <c r="LC2">
        <v>39965</v>
      </c>
      <c r="LD2">
        <v>47014</v>
      </c>
      <c r="LE2">
        <v>147982</v>
      </c>
      <c r="LF2">
        <v>2789</v>
      </c>
      <c r="LG2">
        <v>905770</v>
      </c>
      <c r="LH2">
        <v>4932</v>
      </c>
      <c r="LI2">
        <v>58632</v>
      </c>
      <c r="LJ2">
        <v>7524</v>
      </c>
      <c r="LK2">
        <v>102580</v>
      </c>
      <c r="LL2">
        <v>9103</v>
      </c>
      <c r="LM2">
        <v>51189</v>
      </c>
      <c r="LN2">
        <v>897</v>
      </c>
      <c r="LO2">
        <v>14300</v>
      </c>
      <c r="LP2">
        <v>3980.1430700000001</v>
      </c>
      <c r="LQ2">
        <v>854.76324</v>
      </c>
    </row>
    <row r="3" spans="1:329" x14ac:dyDescent="0.25">
      <c r="A3" s="5" t="s">
        <v>325</v>
      </c>
      <c r="B3" s="5" t="s">
        <v>259</v>
      </c>
      <c r="C3" s="1">
        <v>3635701</v>
      </c>
      <c r="D3" s="1">
        <v>4267957</v>
      </c>
      <c r="E3" s="1">
        <v>4629897</v>
      </c>
      <c r="F3" s="1">
        <v>4942958</v>
      </c>
      <c r="G3" s="1">
        <v>5057154</v>
      </c>
      <c r="H3" s="1">
        <v>1248800</v>
      </c>
      <c r="I3" s="1">
        <v>1481692</v>
      </c>
      <c r="J3" s="1">
        <v>1607954</v>
      </c>
      <c r="K3" s="1">
        <v>1729944</v>
      </c>
      <c r="L3" s="1">
        <v>1794689</v>
      </c>
      <c r="M3" s="1">
        <v>1769813</v>
      </c>
      <c r="N3" s="1">
        <v>1527507</v>
      </c>
      <c r="O3" s="1">
        <v>202438</v>
      </c>
      <c r="P3" s="1">
        <v>39868</v>
      </c>
      <c r="Q3" s="1">
        <v>66512</v>
      </c>
      <c r="R3" s="1">
        <v>16591</v>
      </c>
      <c r="S3" s="1">
        <v>33</v>
      </c>
      <c r="T3" s="1">
        <v>4476903</v>
      </c>
      <c r="U3" s="1">
        <v>429444</v>
      </c>
      <c r="V3" s="1">
        <v>36611</v>
      </c>
      <c r="W3" s="1">
        <v>4977</v>
      </c>
      <c r="X3" s="1">
        <v>7</v>
      </c>
      <c r="Y3" s="2">
        <v>43.56</v>
      </c>
      <c r="Z3" s="1">
        <v>245014</v>
      </c>
      <c r="AA3" s="1">
        <v>314775</v>
      </c>
      <c r="AB3" s="1">
        <v>357779</v>
      </c>
      <c r="AC3" s="1">
        <v>314821</v>
      </c>
      <c r="AD3" s="1">
        <v>211174</v>
      </c>
      <c r="AE3" s="1">
        <v>198414</v>
      </c>
      <c r="AF3" s="1">
        <v>224613</v>
      </c>
      <c r="AG3" s="1">
        <v>299972</v>
      </c>
      <c r="AH3" s="1">
        <v>334605</v>
      </c>
      <c r="AI3" s="1">
        <v>385306</v>
      </c>
      <c r="AJ3" s="1">
        <v>389266</v>
      </c>
      <c r="AK3" s="1">
        <v>405197</v>
      </c>
      <c r="AL3" s="1">
        <v>371587</v>
      </c>
      <c r="AM3" s="1">
        <v>306311</v>
      </c>
      <c r="AN3" s="1">
        <v>233810</v>
      </c>
      <c r="AO3" s="1">
        <v>152719</v>
      </c>
      <c r="AP3" s="1">
        <v>95348</v>
      </c>
      <c r="AQ3" s="1">
        <v>102249</v>
      </c>
      <c r="AR3" s="1">
        <v>2435750</v>
      </c>
      <c r="AS3" s="1">
        <v>2507209</v>
      </c>
      <c r="AT3" s="1">
        <v>3261514</v>
      </c>
      <c r="AU3" s="1">
        <v>193369</v>
      </c>
      <c r="AV3" s="1">
        <v>7493</v>
      </c>
      <c r="AW3" s="1">
        <v>866844</v>
      </c>
      <c r="AX3" s="1">
        <v>5105</v>
      </c>
      <c r="AY3" s="1">
        <v>6348</v>
      </c>
      <c r="AZ3" s="1">
        <v>134360</v>
      </c>
      <c r="BA3" s="1">
        <v>468180</v>
      </c>
      <c r="BB3" s="1">
        <v>4025392</v>
      </c>
      <c r="BC3" s="1">
        <v>966812</v>
      </c>
      <c r="BD3" s="1">
        <v>2493962</v>
      </c>
      <c r="BE3" s="1">
        <v>115362</v>
      </c>
      <c r="BF3" s="1">
        <v>189894</v>
      </c>
      <c r="BG3" s="1">
        <v>259362</v>
      </c>
      <c r="BH3" s="1">
        <v>3499398</v>
      </c>
      <c r="BI3" s="1">
        <v>58011</v>
      </c>
      <c r="BJ3" s="1">
        <v>68023</v>
      </c>
      <c r="BK3" s="1">
        <v>394369</v>
      </c>
      <c r="BL3" s="1">
        <v>490929</v>
      </c>
      <c r="BM3" s="1">
        <v>223811</v>
      </c>
      <c r="BN3" s="1">
        <v>1189070</v>
      </c>
      <c r="BO3" s="1">
        <v>1075185</v>
      </c>
      <c r="BP3" s="1">
        <v>3954611</v>
      </c>
      <c r="BQ3" s="1">
        <v>7386</v>
      </c>
      <c r="BR3" s="1">
        <v>2505109</v>
      </c>
      <c r="BS3" s="1">
        <v>60160</v>
      </c>
      <c r="BT3" s="1">
        <v>1381956</v>
      </c>
      <c r="BU3" s="1">
        <v>1392070</v>
      </c>
      <c r="BV3" s="1">
        <v>337874</v>
      </c>
      <c r="BW3" s="1">
        <v>546433</v>
      </c>
      <c r="BX3" s="1">
        <v>24910</v>
      </c>
      <c r="BY3" s="1">
        <v>61489</v>
      </c>
      <c r="BZ3" s="1">
        <v>675462</v>
      </c>
      <c r="CA3" s="1">
        <v>25469</v>
      </c>
      <c r="CB3" s="1">
        <v>58050</v>
      </c>
      <c r="CC3" s="2">
        <v>2.84</v>
      </c>
      <c r="CD3" s="1">
        <v>269146</v>
      </c>
      <c r="CE3" s="1">
        <v>595111</v>
      </c>
      <c r="CF3" s="1">
        <v>316936</v>
      </c>
      <c r="CG3" s="1">
        <v>345139</v>
      </c>
      <c r="CH3" s="1">
        <v>138702</v>
      </c>
      <c r="CI3" s="1">
        <v>44006</v>
      </c>
      <c r="CJ3" s="1">
        <v>20903</v>
      </c>
      <c r="CK3" s="2">
        <v>54.55</v>
      </c>
      <c r="CL3" s="1">
        <v>32217</v>
      </c>
      <c r="CM3" s="1">
        <v>147272</v>
      </c>
      <c r="CN3" s="1">
        <v>286657</v>
      </c>
      <c r="CO3" s="1">
        <v>377018</v>
      </c>
      <c r="CP3" s="1">
        <v>396636</v>
      </c>
      <c r="CQ3" s="1">
        <v>289275</v>
      </c>
      <c r="CR3" s="1">
        <v>141553</v>
      </c>
      <c r="CS3" s="1">
        <v>59316</v>
      </c>
      <c r="CT3" s="1">
        <v>38565</v>
      </c>
      <c r="CU3" s="1">
        <v>309024</v>
      </c>
      <c r="CV3" s="1">
        <v>1382358</v>
      </c>
      <c r="CW3" s="1">
        <v>71613</v>
      </c>
      <c r="CX3" s="1">
        <v>149270</v>
      </c>
      <c r="CY3" s="1">
        <v>166574</v>
      </c>
      <c r="CZ3" s="1">
        <v>31363</v>
      </c>
      <c r="DA3" s="1">
        <v>15858</v>
      </c>
      <c r="DB3" s="1">
        <v>19448</v>
      </c>
      <c r="DC3" s="1">
        <v>24553</v>
      </c>
      <c r="DD3" s="1">
        <v>22645</v>
      </c>
      <c r="DE3" s="1">
        <v>23933</v>
      </c>
      <c r="DF3" s="1">
        <v>25614</v>
      </c>
      <c r="DG3" s="1">
        <v>28195</v>
      </c>
      <c r="DH3" s="1">
        <v>28259</v>
      </c>
      <c r="DI3" s="1">
        <v>59264</v>
      </c>
      <c r="DJ3" s="1">
        <v>92226</v>
      </c>
      <c r="DK3" s="1">
        <v>171896</v>
      </c>
      <c r="DL3" s="1">
        <v>151168</v>
      </c>
      <c r="DM3" s="1">
        <v>175668</v>
      </c>
      <c r="DN3" s="1">
        <v>289210</v>
      </c>
      <c r="DO3" s="1">
        <v>570641</v>
      </c>
      <c r="DP3" s="1">
        <v>79811</v>
      </c>
      <c r="DQ3" s="1">
        <v>116194</v>
      </c>
      <c r="DR3" s="1">
        <v>162052</v>
      </c>
      <c r="DS3" s="1">
        <v>178085</v>
      </c>
      <c r="DT3" s="1">
        <v>163290</v>
      </c>
      <c r="DU3" s="1">
        <v>133227</v>
      </c>
      <c r="DV3" s="1">
        <v>105649</v>
      </c>
      <c r="DW3" s="2">
        <v>121279.67999999999</v>
      </c>
      <c r="DX3" s="2">
        <v>56585.65</v>
      </c>
      <c r="DY3" s="2">
        <v>4529.1899999999996</v>
      </c>
      <c r="DZ3" s="2">
        <v>977.09</v>
      </c>
      <c r="EA3" s="2">
        <v>4435.29</v>
      </c>
      <c r="EB3" s="2">
        <v>4591.3999999999996</v>
      </c>
      <c r="EC3" s="2">
        <v>7213.37</v>
      </c>
      <c r="ED3" s="2">
        <v>17252.45</v>
      </c>
      <c r="EE3" s="2">
        <v>9617.7800000000007</v>
      </c>
      <c r="EF3" s="2">
        <v>4435.76</v>
      </c>
      <c r="EG3" s="2">
        <v>25300.49</v>
      </c>
      <c r="EH3" s="2">
        <v>4988.83</v>
      </c>
      <c r="EI3" s="2">
        <v>2328.81</v>
      </c>
      <c r="EJ3" s="2">
        <v>1620.88</v>
      </c>
      <c r="EK3" s="2">
        <v>270.86</v>
      </c>
      <c r="EL3" s="2">
        <v>543.71</v>
      </c>
      <c r="EM3" s="2">
        <v>21654.080000000002</v>
      </c>
      <c r="EN3" s="2">
        <v>8007.2</v>
      </c>
      <c r="EO3" s="2">
        <v>3512.49</v>
      </c>
      <c r="EP3" s="1">
        <v>113529</v>
      </c>
      <c r="EQ3" s="1">
        <v>13369</v>
      </c>
      <c r="ER3" s="1">
        <v>1681</v>
      </c>
      <c r="ES3" s="1">
        <v>38658</v>
      </c>
      <c r="ET3" s="1">
        <v>173212</v>
      </c>
      <c r="EU3" s="1">
        <v>271584</v>
      </c>
      <c r="EV3" s="1">
        <v>334340</v>
      </c>
      <c r="EW3" s="1">
        <v>16790</v>
      </c>
      <c r="EX3" s="1">
        <v>82632</v>
      </c>
      <c r="EY3" s="1">
        <v>14396</v>
      </c>
      <c r="EZ3" s="1">
        <v>1056213</v>
      </c>
      <c r="FA3" s="1">
        <v>37021</v>
      </c>
      <c r="FB3" s="1">
        <v>1292717</v>
      </c>
      <c r="FC3" s="1">
        <v>172458</v>
      </c>
      <c r="FD3" s="1">
        <v>94232</v>
      </c>
      <c r="FE3" s="1">
        <v>576976</v>
      </c>
      <c r="FF3" s="1">
        <v>15927</v>
      </c>
      <c r="FG3" s="1">
        <v>1374084</v>
      </c>
      <c r="FH3" s="1">
        <v>448329</v>
      </c>
      <c r="FI3" s="1">
        <v>20929</v>
      </c>
      <c r="FJ3" s="1">
        <v>3245</v>
      </c>
      <c r="FK3" s="1">
        <v>3886</v>
      </c>
      <c r="FL3" s="1">
        <v>33735</v>
      </c>
      <c r="FM3" s="1">
        <v>3851</v>
      </c>
      <c r="FN3" s="1">
        <v>223548</v>
      </c>
      <c r="FO3" s="1">
        <v>2230969</v>
      </c>
      <c r="FP3" s="1">
        <v>48</v>
      </c>
      <c r="FQ3" s="1">
        <v>30</v>
      </c>
      <c r="FR3" s="1">
        <v>29</v>
      </c>
      <c r="FS3" s="1">
        <v>59</v>
      </c>
      <c r="FT3" s="1">
        <v>28</v>
      </c>
      <c r="FU3" s="1">
        <v>26</v>
      </c>
      <c r="FV3" s="1">
        <v>51</v>
      </c>
      <c r="FW3" s="1">
        <v>44</v>
      </c>
      <c r="FX3" s="1">
        <v>54</v>
      </c>
      <c r="FY3" s="1">
        <v>39</v>
      </c>
      <c r="FZ3" s="3">
        <v>2.339</v>
      </c>
      <c r="GA3" s="3">
        <v>1.18</v>
      </c>
      <c r="GB3" s="3">
        <v>0.22900000000000001</v>
      </c>
      <c r="GC3" s="3">
        <v>4.8000000000000001E-2</v>
      </c>
      <c r="GD3" s="3">
        <v>-0.72699999999999998</v>
      </c>
      <c r="GE3" s="3">
        <v>-0.27700000000000002</v>
      </c>
      <c r="GF3" s="3">
        <v>0.92700000000000005</v>
      </c>
      <c r="GG3" s="3">
        <v>-7.9000000000000001E-2</v>
      </c>
      <c r="GH3" s="3">
        <v>0.36599999999999999</v>
      </c>
      <c r="GI3" s="3">
        <v>-0.15</v>
      </c>
      <c r="GJ3" s="3">
        <v>0.50800000000000001</v>
      </c>
      <c r="GK3" s="3">
        <v>-0.16600000000000001</v>
      </c>
      <c r="GL3" s="3">
        <v>-0.22</v>
      </c>
      <c r="GM3" s="3">
        <v>5.2999999999999999E-2</v>
      </c>
      <c r="GN3" s="3">
        <v>-0.25600000000000001</v>
      </c>
      <c r="GO3" s="3">
        <v>3.5999999999999997E-2</v>
      </c>
      <c r="GP3" s="3">
        <v>0.39400000000000002</v>
      </c>
      <c r="GQ3" s="3">
        <v>1.2E-2</v>
      </c>
      <c r="GR3" s="3">
        <v>5.1999999999999998E-2</v>
      </c>
      <c r="GS3" s="3">
        <v>0.35599999999999998</v>
      </c>
      <c r="GT3" s="3">
        <v>-0.23100000000000001</v>
      </c>
      <c r="GU3" s="3">
        <v>-0.34200000000000003</v>
      </c>
      <c r="GV3" s="3">
        <v>-0.05</v>
      </c>
      <c r="GW3" s="3">
        <v>-3.9E-2</v>
      </c>
      <c r="GX3" s="3">
        <v>3.2000000000000001E-2</v>
      </c>
      <c r="GY3" s="3">
        <v>0.158</v>
      </c>
      <c r="GZ3" s="4">
        <v>126</v>
      </c>
      <c r="HA3" s="4">
        <v>122</v>
      </c>
      <c r="HB3" s="4">
        <v>135</v>
      </c>
      <c r="HC3" s="4">
        <v>130</v>
      </c>
      <c r="HD3" s="4">
        <v>126</v>
      </c>
      <c r="HE3" s="4">
        <v>129</v>
      </c>
      <c r="HF3" s="1">
        <v>5653</v>
      </c>
      <c r="HG3" s="1">
        <v>3677</v>
      </c>
      <c r="HH3" s="1">
        <v>3082</v>
      </c>
      <c r="HI3" s="1">
        <v>3218</v>
      </c>
      <c r="HJ3" s="1">
        <v>2865</v>
      </c>
      <c r="HK3" s="1">
        <v>3462</v>
      </c>
      <c r="HL3" s="1">
        <v>2487</v>
      </c>
      <c r="HM3" s="1">
        <v>6074</v>
      </c>
      <c r="HN3" s="1">
        <v>7132</v>
      </c>
      <c r="HO3" s="1">
        <v>7880</v>
      </c>
      <c r="HP3" s="1">
        <v>9189</v>
      </c>
      <c r="HQ3" s="1">
        <v>10815</v>
      </c>
      <c r="HR3" s="1">
        <v>10072</v>
      </c>
      <c r="HS3" s="1">
        <v>29860</v>
      </c>
      <c r="HT3" s="1">
        <v>26028</v>
      </c>
      <c r="HU3" s="1">
        <v>41651</v>
      </c>
      <c r="HV3" s="1">
        <v>35520</v>
      </c>
      <c r="HW3" s="1">
        <v>84071</v>
      </c>
      <c r="HX3" s="1">
        <v>87313</v>
      </c>
      <c r="HY3" s="1">
        <v>182369</v>
      </c>
      <c r="HZ3" s="1">
        <v>166950</v>
      </c>
      <c r="IA3" s="1">
        <v>355234</v>
      </c>
      <c r="IB3" s="1">
        <v>186933</v>
      </c>
      <c r="IC3" s="1">
        <v>156964</v>
      </c>
      <c r="ID3" s="1">
        <v>490943</v>
      </c>
      <c r="IE3" s="1">
        <v>1259</v>
      </c>
      <c r="IF3" s="1">
        <v>1470</v>
      </c>
      <c r="IG3" s="1">
        <v>746</v>
      </c>
      <c r="IH3" s="1">
        <v>961</v>
      </c>
      <c r="II3" s="1">
        <v>858</v>
      </c>
      <c r="IJ3" s="1">
        <v>691</v>
      </c>
      <c r="IK3" s="1">
        <v>853</v>
      </c>
      <c r="IL3" s="1">
        <v>859</v>
      </c>
      <c r="IM3" s="1">
        <v>820</v>
      </c>
      <c r="IN3" s="1">
        <v>1278</v>
      </c>
      <c r="IO3" s="1">
        <v>1042</v>
      </c>
      <c r="IP3" s="1">
        <v>1565</v>
      </c>
      <c r="IQ3" s="1">
        <v>1411</v>
      </c>
      <c r="IR3" s="1">
        <v>1878</v>
      </c>
      <c r="IS3" s="1">
        <v>1774</v>
      </c>
      <c r="IT3" s="1">
        <v>5341</v>
      </c>
      <c r="IU3" s="1">
        <v>4849</v>
      </c>
      <c r="IV3" s="1">
        <v>12300</v>
      </c>
      <c r="IW3">
        <v>7974</v>
      </c>
      <c r="IX3">
        <v>30016</v>
      </c>
      <c r="IY3">
        <v>85316</v>
      </c>
      <c r="IZ3">
        <v>12089</v>
      </c>
      <c r="JA3">
        <v>2134</v>
      </c>
      <c r="JB3">
        <v>1197473</v>
      </c>
      <c r="JC3">
        <v>88230</v>
      </c>
      <c r="JD3">
        <v>5634</v>
      </c>
      <c r="JE3">
        <v>5484</v>
      </c>
      <c r="JF3">
        <v>5900</v>
      </c>
      <c r="JG3">
        <v>3744</v>
      </c>
      <c r="JH3">
        <v>3679</v>
      </c>
      <c r="JI3">
        <v>5849</v>
      </c>
      <c r="JJ3">
        <v>9300</v>
      </c>
      <c r="JK3">
        <v>223</v>
      </c>
      <c r="JL3">
        <v>102739</v>
      </c>
      <c r="JM3">
        <v>20791</v>
      </c>
      <c r="JN3">
        <v>5027</v>
      </c>
      <c r="JO3">
        <v>5908</v>
      </c>
      <c r="JP3">
        <v>5618</v>
      </c>
      <c r="JQ3">
        <v>4636</v>
      </c>
      <c r="JR3">
        <v>4411</v>
      </c>
      <c r="JS3">
        <v>9201</v>
      </c>
      <c r="JT3">
        <v>1249</v>
      </c>
      <c r="JU3">
        <v>202</v>
      </c>
      <c r="JV3">
        <v>59439</v>
      </c>
      <c r="JW3">
        <v>88891</v>
      </c>
      <c r="JX3">
        <v>201054</v>
      </c>
      <c r="JY3">
        <v>245980</v>
      </c>
      <c r="JZ3">
        <v>281445</v>
      </c>
      <c r="KA3">
        <v>234829</v>
      </c>
      <c r="KB3">
        <v>194755</v>
      </c>
      <c r="KC3">
        <v>69482</v>
      </c>
      <c r="KD3">
        <v>109423</v>
      </c>
      <c r="KE3">
        <v>9220</v>
      </c>
      <c r="KF3">
        <v>3028</v>
      </c>
      <c r="KG3">
        <v>88236</v>
      </c>
      <c r="KH3">
        <v>192004</v>
      </c>
      <c r="KI3">
        <v>67529</v>
      </c>
      <c r="KJ3">
        <v>177731</v>
      </c>
      <c r="KK3">
        <v>49122</v>
      </c>
      <c r="KL3">
        <v>13458</v>
      </c>
      <c r="KM3">
        <v>63896</v>
      </c>
      <c r="KN3">
        <v>133352</v>
      </c>
      <c r="KO3">
        <v>59298</v>
      </c>
      <c r="KP3">
        <v>293158</v>
      </c>
      <c r="KQ3">
        <v>2288</v>
      </c>
      <c r="KR3">
        <v>59258</v>
      </c>
      <c r="KS3">
        <v>210004</v>
      </c>
      <c r="KT3">
        <v>250762</v>
      </c>
      <c r="KU3">
        <v>45990</v>
      </c>
      <c r="KV3">
        <v>80807</v>
      </c>
      <c r="KW3">
        <v>85140</v>
      </c>
      <c r="KX3">
        <v>114200</v>
      </c>
      <c r="KY3">
        <v>1190477</v>
      </c>
      <c r="KZ3">
        <v>158216</v>
      </c>
      <c r="LA3">
        <v>164437</v>
      </c>
      <c r="LB3">
        <v>163592</v>
      </c>
      <c r="LC3">
        <v>66065</v>
      </c>
      <c r="LD3">
        <v>80394</v>
      </c>
      <c r="LE3">
        <v>172153</v>
      </c>
      <c r="LF3">
        <v>3147</v>
      </c>
      <c r="LG3">
        <v>1090023</v>
      </c>
      <c r="LH3">
        <v>9515</v>
      </c>
      <c r="LI3">
        <v>98157</v>
      </c>
      <c r="LJ3">
        <v>10264</v>
      </c>
      <c r="LK3">
        <v>121142</v>
      </c>
      <c r="LL3">
        <v>24565</v>
      </c>
      <c r="LM3">
        <v>111181</v>
      </c>
      <c r="LN3">
        <v>1407</v>
      </c>
      <c r="LO3">
        <v>19044</v>
      </c>
      <c r="LP3">
        <v>4080.5522500000002</v>
      </c>
      <c r="LQ3">
        <v>1077.17552</v>
      </c>
    </row>
    <row r="4" spans="1:329" x14ac:dyDescent="0.25">
      <c r="A4" s="5" t="s">
        <v>326</v>
      </c>
      <c r="B4" s="5" t="s">
        <v>260</v>
      </c>
      <c r="C4" s="1">
        <v>2410606</v>
      </c>
      <c r="D4" s="1">
        <v>4566323</v>
      </c>
      <c r="E4" s="1">
        <v>5913755</v>
      </c>
      <c r="F4" s="1">
        <v>6587421</v>
      </c>
      <c r="G4" s="1">
        <v>6935616</v>
      </c>
      <c r="H4" s="1">
        <v>801720</v>
      </c>
      <c r="I4" s="1">
        <v>1505256</v>
      </c>
      <c r="J4" s="1">
        <v>1956422</v>
      </c>
      <c r="K4" s="1">
        <v>2241106</v>
      </c>
      <c r="L4" s="1">
        <v>2358725</v>
      </c>
      <c r="M4" s="1">
        <v>2284176</v>
      </c>
      <c r="N4" s="1">
        <v>2026666</v>
      </c>
      <c r="O4" s="1">
        <v>214440</v>
      </c>
      <c r="P4" s="1">
        <v>43070</v>
      </c>
      <c r="Q4" s="1">
        <v>77968</v>
      </c>
      <c r="R4" s="1">
        <v>13848</v>
      </c>
      <c r="S4" s="1">
        <v>55</v>
      </c>
      <c r="T4" s="1">
        <v>6105144</v>
      </c>
      <c r="U4" s="1">
        <v>459143</v>
      </c>
      <c r="V4" s="1">
        <v>23134</v>
      </c>
      <c r="W4" s="1">
        <v>1007</v>
      </c>
      <c r="X4" s="1">
        <v>16</v>
      </c>
      <c r="Y4" s="2">
        <v>39.369999999999997</v>
      </c>
      <c r="Z4" s="1">
        <v>373298</v>
      </c>
      <c r="AA4" s="1">
        <v>495029</v>
      </c>
      <c r="AB4" s="1">
        <v>571747</v>
      </c>
      <c r="AC4" s="1">
        <v>486398</v>
      </c>
      <c r="AD4" s="1">
        <v>277648</v>
      </c>
      <c r="AE4" s="1">
        <v>261257</v>
      </c>
      <c r="AF4" s="1">
        <v>329210</v>
      </c>
      <c r="AG4" s="1">
        <v>461393</v>
      </c>
      <c r="AH4" s="1">
        <v>510651</v>
      </c>
      <c r="AI4" s="1">
        <v>561645</v>
      </c>
      <c r="AJ4" s="1">
        <v>524538</v>
      </c>
      <c r="AK4" s="1">
        <v>500480</v>
      </c>
      <c r="AL4" s="1">
        <v>418300</v>
      </c>
      <c r="AM4" s="1">
        <v>313254</v>
      </c>
      <c r="AN4" s="1">
        <v>219626</v>
      </c>
      <c r="AO4" s="1">
        <v>133003</v>
      </c>
      <c r="AP4" s="1">
        <v>76110</v>
      </c>
      <c r="AQ4" s="1">
        <v>73834</v>
      </c>
      <c r="AR4" s="1">
        <v>3269572</v>
      </c>
      <c r="AS4" s="1">
        <v>3317849</v>
      </c>
      <c r="AT4" s="1">
        <v>5057363</v>
      </c>
      <c r="AU4" s="1">
        <v>350565</v>
      </c>
      <c r="AV4" s="1">
        <v>14112</v>
      </c>
      <c r="AW4" s="1">
        <v>562714</v>
      </c>
      <c r="AX4" s="1">
        <v>2863</v>
      </c>
      <c r="AY4" s="1">
        <v>6137</v>
      </c>
      <c r="AZ4" s="1">
        <v>124465</v>
      </c>
      <c r="BA4" s="1">
        <v>469498</v>
      </c>
      <c r="BB4" s="1">
        <v>5147349</v>
      </c>
      <c r="BC4" s="1">
        <v>1202892</v>
      </c>
      <c r="BD4" s="1">
        <v>3338470</v>
      </c>
      <c r="BE4" s="1">
        <v>113202</v>
      </c>
      <c r="BF4" s="1">
        <v>171407</v>
      </c>
      <c r="BG4" s="1">
        <v>321378</v>
      </c>
      <c r="BH4" s="1">
        <v>4383301</v>
      </c>
      <c r="BI4" s="1">
        <v>53672</v>
      </c>
      <c r="BJ4" s="1">
        <v>81521</v>
      </c>
      <c r="BK4" s="1">
        <v>595187</v>
      </c>
      <c r="BL4" s="1">
        <v>680966</v>
      </c>
      <c r="BM4" s="1">
        <v>334189</v>
      </c>
      <c r="BN4" s="1">
        <v>1552929</v>
      </c>
      <c r="BO4" s="1">
        <v>1084837</v>
      </c>
      <c r="BP4" s="1">
        <v>5033925</v>
      </c>
      <c r="BQ4" s="1">
        <v>9555</v>
      </c>
      <c r="BR4" s="1">
        <v>3410753</v>
      </c>
      <c r="BS4" s="1">
        <v>77515</v>
      </c>
      <c r="BT4" s="1">
        <v>1536102</v>
      </c>
      <c r="BU4" s="1">
        <v>1867738</v>
      </c>
      <c r="BV4" s="1">
        <v>373368</v>
      </c>
      <c r="BW4" s="1">
        <v>821937</v>
      </c>
      <c r="BX4" s="1">
        <v>36363</v>
      </c>
      <c r="BY4" s="1">
        <v>91970</v>
      </c>
      <c r="BZ4" s="1">
        <v>838039</v>
      </c>
      <c r="CA4" s="1">
        <v>25199</v>
      </c>
      <c r="CB4" s="1">
        <v>53737</v>
      </c>
      <c r="CC4" s="2">
        <v>2.93</v>
      </c>
      <c r="CD4" s="1">
        <v>304463</v>
      </c>
      <c r="CE4" s="1">
        <v>742302</v>
      </c>
      <c r="CF4" s="1">
        <v>417126</v>
      </c>
      <c r="CG4" s="1">
        <v>483593</v>
      </c>
      <c r="CH4" s="1">
        <v>205050</v>
      </c>
      <c r="CI4" s="1">
        <v>62299</v>
      </c>
      <c r="CJ4" s="1">
        <v>26273</v>
      </c>
      <c r="CK4" s="2">
        <v>50.82</v>
      </c>
      <c r="CL4" s="1">
        <v>57905</v>
      </c>
      <c r="CM4" s="1">
        <v>235931</v>
      </c>
      <c r="CN4" s="1">
        <v>457158</v>
      </c>
      <c r="CO4" s="1">
        <v>541886</v>
      </c>
      <c r="CP4" s="1">
        <v>483019</v>
      </c>
      <c r="CQ4" s="1">
        <v>297345</v>
      </c>
      <c r="CR4" s="1">
        <v>124144</v>
      </c>
      <c r="CS4" s="1">
        <v>43717</v>
      </c>
      <c r="CT4" s="1">
        <v>36383</v>
      </c>
      <c r="CU4" s="1">
        <v>346216</v>
      </c>
      <c r="CV4" s="1">
        <v>1858509</v>
      </c>
      <c r="CW4" s="1">
        <v>57470</v>
      </c>
      <c r="CX4" s="1">
        <v>135104</v>
      </c>
      <c r="CY4" s="1">
        <v>146806</v>
      </c>
      <c r="CZ4" s="1">
        <v>34725</v>
      </c>
      <c r="DA4" s="1">
        <v>18638</v>
      </c>
      <c r="DB4" s="1">
        <v>23672</v>
      </c>
      <c r="DC4" s="1">
        <v>31149</v>
      </c>
      <c r="DD4" s="1">
        <v>30126</v>
      </c>
      <c r="DE4" s="1">
        <v>32292</v>
      </c>
      <c r="DF4" s="1">
        <v>35140</v>
      </c>
      <c r="DG4" s="1">
        <v>39524</v>
      </c>
      <c r="DH4" s="1">
        <v>40298</v>
      </c>
      <c r="DI4" s="1">
        <v>87922</v>
      </c>
      <c r="DJ4" s="1">
        <v>141770</v>
      </c>
      <c r="DK4" s="1">
        <v>262252</v>
      </c>
      <c r="DL4" s="1">
        <v>233006</v>
      </c>
      <c r="DM4" s="1">
        <v>272230</v>
      </c>
      <c r="DN4" s="1">
        <v>407133</v>
      </c>
      <c r="DO4" s="1">
        <v>551228</v>
      </c>
      <c r="DP4" s="1">
        <v>82296</v>
      </c>
      <c r="DQ4" s="1">
        <v>101818</v>
      </c>
      <c r="DR4" s="1">
        <v>141119</v>
      </c>
      <c r="DS4" s="1">
        <v>160380</v>
      </c>
      <c r="DT4" s="1">
        <v>145976</v>
      </c>
      <c r="DU4" s="1">
        <v>114459</v>
      </c>
      <c r="DV4" s="1">
        <v>89796</v>
      </c>
      <c r="DW4" s="2">
        <v>103362.24000000001</v>
      </c>
      <c r="DX4" s="2">
        <v>48504.14</v>
      </c>
      <c r="DY4" s="2">
        <v>3724.02</v>
      </c>
      <c r="DZ4" s="2">
        <v>817.29</v>
      </c>
      <c r="EA4" s="2">
        <v>3767.69</v>
      </c>
      <c r="EB4" s="2">
        <v>3741.57</v>
      </c>
      <c r="EC4" s="2">
        <v>6118.34</v>
      </c>
      <c r="ED4" s="2">
        <v>14835.58</v>
      </c>
      <c r="EE4" s="2">
        <v>8280.33</v>
      </c>
      <c r="EF4" s="2">
        <v>3773.32</v>
      </c>
      <c r="EG4" s="2">
        <v>21544.95</v>
      </c>
      <c r="EH4" s="2">
        <v>4202.34</v>
      </c>
      <c r="EI4" s="2">
        <v>1977.36</v>
      </c>
      <c r="EJ4" s="2">
        <v>1385.56</v>
      </c>
      <c r="EK4" s="2">
        <v>228.23</v>
      </c>
      <c r="EL4" s="2">
        <v>486.69</v>
      </c>
      <c r="EM4" s="2">
        <v>18674.7</v>
      </c>
      <c r="EN4" s="2">
        <v>6957.82</v>
      </c>
      <c r="EO4" s="2">
        <v>2846.45</v>
      </c>
      <c r="EP4" s="1">
        <v>92827</v>
      </c>
      <c r="EQ4" s="1">
        <v>10316</v>
      </c>
      <c r="ER4" s="1">
        <v>1646</v>
      </c>
      <c r="ES4" s="1">
        <v>26767</v>
      </c>
      <c r="ET4" s="1">
        <v>127353</v>
      </c>
      <c r="EU4" s="1">
        <v>224561</v>
      </c>
      <c r="EV4" s="1">
        <v>288201</v>
      </c>
      <c r="EW4" s="1">
        <v>16842</v>
      </c>
      <c r="EX4" s="1">
        <v>60745</v>
      </c>
      <c r="EY4" s="1">
        <v>9338</v>
      </c>
      <c r="EZ4" s="1">
        <v>856783</v>
      </c>
      <c r="FA4" s="1">
        <v>34046</v>
      </c>
      <c r="FB4" s="1">
        <v>674373</v>
      </c>
      <c r="FC4" s="1">
        <v>118514</v>
      </c>
      <c r="FD4" s="1">
        <v>68889</v>
      </c>
      <c r="FE4" s="1">
        <v>421771</v>
      </c>
      <c r="FF4" s="1">
        <v>12250</v>
      </c>
      <c r="FG4" s="1">
        <v>1004518</v>
      </c>
      <c r="FH4" s="1">
        <v>229325</v>
      </c>
      <c r="FI4" s="1">
        <v>20560</v>
      </c>
      <c r="FJ4" s="1">
        <v>2967</v>
      </c>
      <c r="FK4" s="1">
        <v>3508</v>
      </c>
      <c r="FL4" s="1">
        <v>20971</v>
      </c>
      <c r="FM4" s="1">
        <v>3193</v>
      </c>
      <c r="FN4" s="1">
        <v>171072</v>
      </c>
      <c r="FO4" s="1">
        <v>1694877</v>
      </c>
      <c r="FP4" s="1">
        <v>44</v>
      </c>
      <c r="FQ4" s="1">
        <v>24</v>
      </c>
      <c r="FR4" s="1">
        <v>25</v>
      </c>
      <c r="FS4" s="1">
        <v>44</v>
      </c>
      <c r="FT4" s="1">
        <v>23</v>
      </c>
      <c r="FU4" s="1">
        <v>22</v>
      </c>
      <c r="FV4" s="1">
        <v>47</v>
      </c>
      <c r="FW4" s="1">
        <v>35</v>
      </c>
      <c r="FX4" s="1">
        <v>51</v>
      </c>
      <c r="FY4" s="1">
        <v>35</v>
      </c>
      <c r="FZ4" s="3">
        <v>1.371</v>
      </c>
      <c r="GA4" s="3">
        <v>1.4390000000000001</v>
      </c>
      <c r="GB4" s="3">
        <v>-0.29399999999999998</v>
      </c>
      <c r="GC4" s="3">
        <v>-0.34599999999999997</v>
      </c>
      <c r="GD4" s="3">
        <v>0.51</v>
      </c>
      <c r="GE4" s="3">
        <v>0.161</v>
      </c>
      <c r="GF4" s="3">
        <v>-0.31</v>
      </c>
      <c r="GG4" s="3">
        <v>-0.312</v>
      </c>
      <c r="GH4" s="3">
        <v>0.71099999999999997</v>
      </c>
      <c r="GI4" s="3">
        <v>-0.29499999999999998</v>
      </c>
      <c r="GJ4" s="3">
        <v>0.84299999999999997</v>
      </c>
      <c r="GK4" s="3">
        <v>-0.23</v>
      </c>
      <c r="GL4" s="3">
        <v>1.071</v>
      </c>
      <c r="GM4" s="3">
        <v>-0.254</v>
      </c>
      <c r="GN4" s="3">
        <v>0.219</v>
      </c>
      <c r="GO4" s="3">
        <v>2.3E-2</v>
      </c>
      <c r="GP4" s="3">
        <v>0.94699999999999995</v>
      </c>
      <c r="GQ4" s="3">
        <v>0.13600000000000001</v>
      </c>
      <c r="GR4" s="3">
        <v>0.108</v>
      </c>
      <c r="GS4" s="3">
        <v>-0.72199999999999998</v>
      </c>
      <c r="GT4" s="3">
        <v>-0.14000000000000001</v>
      </c>
      <c r="GU4" s="3">
        <v>0.13700000000000001</v>
      </c>
      <c r="GV4" s="3">
        <v>8.2000000000000003E-2</v>
      </c>
      <c r="GW4" s="3">
        <v>-0.23100000000000001</v>
      </c>
      <c r="GX4" s="3">
        <v>8.4000000000000005E-2</v>
      </c>
      <c r="GY4" s="3">
        <v>1.9E-2</v>
      </c>
      <c r="GZ4" s="4">
        <v>123</v>
      </c>
      <c r="HA4" s="4">
        <v>133</v>
      </c>
      <c r="HB4" s="4">
        <v>121</v>
      </c>
      <c r="HC4" s="4">
        <v>138</v>
      </c>
      <c r="HD4" s="4">
        <v>96</v>
      </c>
      <c r="HE4" s="4">
        <v>100</v>
      </c>
      <c r="HF4" s="1">
        <v>6746</v>
      </c>
      <c r="HG4" s="1">
        <v>4838</v>
      </c>
      <c r="HH4" s="1">
        <v>4669</v>
      </c>
      <c r="HI4" s="1">
        <v>4958</v>
      </c>
      <c r="HJ4" s="1">
        <v>4306</v>
      </c>
      <c r="HK4" s="1">
        <v>4955</v>
      </c>
      <c r="HL4" s="1">
        <v>3458</v>
      </c>
      <c r="HM4" s="1">
        <v>8310</v>
      </c>
      <c r="HN4" s="1">
        <v>10066</v>
      </c>
      <c r="HO4" s="1">
        <v>10862</v>
      </c>
      <c r="HP4" s="1">
        <v>13535</v>
      </c>
      <c r="HQ4" s="1">
        <v>15881</v>
      </c>
      <c r="HR4" s="1">
        <v>15338</v>
      </c>
      <c r="HS4" s="1">
        <v>45655</v>
      </c>
      <c r="HT4" s="1">
        <v>49095</v>
      </c>
      <c r="HU4" s="1">
        <v>79442</v>
      </c>
      <c r="HV4" s="1">
        <v>79942</v>
      </c>
      <c r="HW4" s="1">
        <v>209752</v>
      </c>
      <c r="HX4" s="1">
        <v>222254</v>
      </c>
      <c r="HY4" s="1">
        <v>389394</v>
      </c>
      <c r="HZ4" s="1">
        <v>247923</v>
      </c>
      <c r="IA4" s="1">
        <v>253392</v>
      </c>
      <c r="IB4" s="1">
        <v>62568</v>
      </c>
      <c r="IC4" s="1">
        <v>35180</v>
      </c>
      <c r="ID4" s="1">
        <v>324960</v>
      </c>
      <c r="IE4" s="1">
        <v>1253</v>
      </c>
      <c r="IF4" s="1">
        <v>1676</v>
      </c>
      <c r="IG4" s="1">
        <v>1170</v>
      </c>
      <c r="IH4" s="1">
        <v>1685</v>
      </c>
      <c r="II4" s="1">
        <v>1539</v>
      </c>
      <c r="IJ4" s="1">
        <v>2210</v>
      </c>
      <c r="IK4" s="1">
        <v>2504</v>
      </c>
      <c r="IL4" s="1">
        <v>3734</v>
      </c>
      <c r="IM4" s="1">
        <v>3831</v>
      </c>
      <c r="IN4" s="1">
        <v>6313</v>
      </c>
      <c r="IO4" s="1">
        <v>5166</v>
      </c>
      <c r="IP4" s="1">
        <v>7235</v>
      </c>
      <c r="IQ4" s="1">
        <v>7404</v>
      </c>
      <c r="IR4" s="1">
        <v>8859</v>
      </c>
      <c r="IS4" s="1">
        <v>8547</v>
      </c>
      <c r="IT4" s="1">
        <v>16842</v>
      </c>
      <c r="IU4" s="1">
        <v>13486</v>
      </c>
      <c r="IV4" s="1">
        <v>23836</v>
      </c>
      <c r="IW4">
        <v>13784</v>
      </c>
      <c r="IX4">
        <v>16827</v>
      </c>
      <c r="IY4">
        <v>8416</v>
      </c>
      <c r="IZ4">
        <v>14551</v>
      </c>
      <c r="JA4">
        <v>872</v>
      </c>
      <c r="JB4">
        <v>1779093</v>
      </c>
      <c r="JC4">
        <v>82186</v>
      </c>
      <c r="JD4">
        <v>4969</v>
      </c>
      <c r="JE4">
        <v>5590</v>
      </c>
      <c r="JF4">
        <v>4998</v>
      </c>
      <c r="JG4">
        <v>3095</v>
      </c>
      <c r="JH4">
        <v>1748</v>
      </c>
      <c r="JI4">
        <v>2552</v>
      </c>
      <c r="JJ4">
        <v>25088</v>
      </c>
      <c r="JK4">
        <v>261</v>
      </c>
      <c r="JL4">
        <v>70656</v>
      </c>
      <c r="JM4">
        <v>14844</v>
      </c>
      <c r="JN4">
        <v>8027</v>
      </c>
      <c r="JO4">
        <v>12141</v>
      </c>
      <c r="JP4">
        <v>17990</v>
      </c>
      <c r="JQ4">
        <v>21256</v>
      </c>
      <c r="JR4">
        <v>13162</v>
      </c>
      <c r="JS4">
        <v>15491</v>
      </c>
      <c r="JT4">
        <v>6159</v>
      </c>
      <c r="JU4">
        <v>282</v>
      </c>
      <c r="JV4">
        <v>195175</v>
      </c>
      <c r="JW4">
        <v>291567</v>
      </c>
      <c r="JX4">
        <v>680621</v>
      </c>
      <c r="JY4">
        <v>322445</v>
      </c>
      <c r="JZ4">
        <v>204827</v>
      </c>
      <c r="KA4">
        <v>123115</v>
      </c>
      <c r="KB4">
        <v>109498</v>
      </c>
      <c r="KC4">
        <v>45734</v>
      </c>
      <c r="KD4">
        <v>116606</v>
      </c>
      <c r="KE4">
        <v>14530</v>
      </c>
      <c r="KF4">
        <v>15274</v>
      </c>
      <c r="KG4">
        <v>135363</v>
      </c>
      <c r="KH4">
        <v>346371</v>
      </c>
      <c r="KI4">
        <v>116983</v>
      </c>
      <c r="KJ4">
        <v>310142</v>
      </c>
      <c r="KK4">
        <v>95691</v>
      </c>
      <c r="KL4">
        <v>26746</v>
      </c>
      <c r="KM4">
        <v>88427</v>
      </c>
      <c r="KN4">
        <v>241204</v>
      </c>
      <c r="KO4">
        <v>69259</v>
      </c>
      <c r="KP4">
        <v>347676</v>
      </c>
      <c r="KQ4">
        <v>4855</v>
      </c>
      <c r="KR4">
        <v>95180</v>
      </c>
      <c r="KS4">
        <v>309558</v>
      </c>
      <c r="KT4">
        <v>393586</v>
      </c>
      <c r="KU4">
        <v>62643</v>
      </c>
      <c r="KV4">
        <v>136560</v>
      </c>
      <c r="KW4">
        <v>119325</v>
      </c>
      <c r="KX4">
        <v>135685</v>
      </c>
      <c r="KY4">
        <v>2021668</v>
      </c>
      <c r="KZ4">
        <v>205937</v>
      </c>
      <c r="LA4">
        <v>244461</v>
      </c>
      <c r="LB4">
        <v>212616</v>
      </c>
      <c r="LC4">
        <v>110488</v>
      </c>
      <c r="LD4">
        <v>85964</v>
      </c>
      <c r="LE4">
        <v>180034</v>
      </c>
      <c r="LF4">
        <v>3890</v>
      </c>
      <c r="LG4">
        <v>1739503</v>
      </c>
      <c r="LH4">
        <v>9293</v>
      </c>
      <c r="LI4">
        <v>108739</v>
      </c>
      <c r="LJ4">
        <v>7797</v>
      </c>
      <c r="LK4">
        <v>116508</v>
      </c>
      <c r="LL4">
        <v>14739</v>
      </c>
      <c r="LM4">
        <v>75424</v>
      </c>
      <c r="LN4">
        <v>1133</v>
      </c>
      <c r="LO4">
        <v>16452</v>
      </c>
      <c r="LP4">
        <v>7996.35059</v>
      </c>
      <c r="LQ4">
        <v>829.20551</v>
      </c>
    </row>
    <row r="5" spans="1:329" x14ac:dyDescent="0.25">
      <c r="A5" s="5" t="s">
        <v>327</v>
      </c>
      <c r="B5" s="5" t="s">
        <v>261</v>
      </c>
      <c r="C5" s="1">
        <v>1138251</v>
      </c>
      <c r="D5" s="1">
        <v>2283810</v>
      </c>
      <c r="E5" s="1">
        <v>5984214</v>
      </c>
      <c r="F5" s="1">
        <v>7063049</v>
      </c>
      <c r="G5" s="1">
        <v>7517578</v>
      </c>
      <c r="H5" s="1">
        <v>371731</v>
      </c>
      <c r="I5" s="1">
        <v>747161</v>
      </c>
      <c r="J5" s="1">
        <v>1897909</v>
      </c>
      <c r="K5" s="1">
        <v>2288701</v>
      </c>
      <c r="L5" s="1">
        <v>2416045</v>
      </c>
      <c r="M5" s="1">
        <v>2343123</v>
      </c>
      <c r="N5" s="1">
        <v>1933735</v>
      </c>
      <c r="O5" s="1">
        <v>354966</v>
      </c>
      <c r="P5" s="1">
        <v>54422</v>
      </c>
      <c r="Q5" s="1">
        <v>105261</v>
      </c>
      <c r="R5" s="1">
        <v>16858</v>
      </c>
      <c r="S5" s="1">
        <v>73</v>
      </c>
      <c r="T5" s="1">
        <v>6491745</v>
      </c>
      <c r="U5" s="1">
        <v>542622</v>
      </c>
      <c r="V5" s="1">
        <v>28682</v>
      </c>
      <c r="W5" s="1">
        <v>3694</v>
      </c>
      <c r="X5" s="1">
        <v>596</v>
      </c>
      <c r="Y5" s="2">
        <v>35.159999999999997</v>
      </c>
      <c r="Z5" s="1">
        <v>501135</v>
      </c>
      <c r="AA5" s="1">
        <v>579040</v>
      </c>
      <c r="AB5" s="1">
        <v>591206</v>
      </c>
      <c r="AC5" s="1">
        <v>480999</v>
      </c>
      <c r="AD5" s="1">
        <v>335594</v>
      </c>
      <c r="AE5" s="1">
        <v>399152</v>
      </c>
      <c r="AF5" s="1">
        <v>503280</v>
      </c>
      <c r="AG5" s="1">
        <v>609595</v>
      </c>
      <c r="AH5" s="1">
        <v>564904</v>
      </c>
      <c r="AI5" s="1">
        <v>524031</v>
      </c>
      <c r="AJ5" s="1">
        <v>445688</v>
      </c>
      <c r="AK5" s="1">
        <v>415514</v>
      </c>
      <c r="AL5" s="1">
        <v>357827</v>
      </c>
      <c r="AM5" s="1">
        <v>280660</v>
      </c>
      <c r="AN5" s="1">
        <v>204748</v>
      </c>
      <c r="AO5" s="1">
        <v>126079</v>
      </c>
      <c r="AP5" s="1">
        <v>73850</v>
      </c>
      <c r="AQ5" s="1">
        <v>69747</v>
      </c>
      <c r="AR5" s="1">
        <v>3491728</v>
      </c>
      <c r="AS5" s="1">
        <v>3571321</v>
      </c>
      <c r="AT5" s="1">
        <v>4219826</v>
      </c>
      <c r="AU5" s="1">
        <v>591266</v>
      </c>
      <c r="AV5" s="1">
        <v>20846</v>
      </c>
      <c r="AW5" s="1">
        <v>804429</v>
      </c>
      <c r="AX5" s="1">
        <v>12832</v>
      </c>
      <c r="AY5" s="1">
        <v>7792</v>
      </c>
      <c r="AZ5" s="1">
        <v>192449</v>
      </c>
      <c r="BA5" s="1">
        <v>1213831</v>
      </c>
      <c r="BB5" s="1">
        <v>5391669</v>
      </c>
      <c r="BC5" s="1">
        <v>1424322</v>
      </c>
      <c r="BD5" s="1">
        <v>3186751</v>
      </c>
      <c r="BE5" s="1">
        <v>176497</v>
      </c>
      <c r="BF5" s="1">
        <v>182667</v>
      </c>
      <c r="BG5" s="1">
        <v>421432</v>
      </c>
      <c r="BH5" s="1">
        <v>4575075</v>
      </c>
      <c r="BI5" s="1">
        <v>111101</v>
      </c>
      <c r="BJ5" s="1">
        <v>141860</v>
      </c>
      <c r="BK5" s="1">
        <v>795944</v>
      </c>
      <c r="BL5" s="1">
        <v>942733</v>
      </c>
      <c r="BM5" s="1">
        <v>427376</v>
      </c>
      <c r="BN5" s="1">
        <v>1357437</v>
      </c>
      <c r="BO5" s="1">
        <v>798624</v>
      </c>
      <c r="BP5" s="1">
        <v>5282397</v>
      </c>
      <c r="BQ5" s="1">
        <v>22246</v>
      </c>
      <c r="BR5" s="1">
        <v>3592805</v>
      </c>
      <c r="BS5" s="1">
        <v>94593</v>
      </c>
      <c r="BT5" s="1">
        <v>1572753</v>
      </c>
      <c r="BU5" s="1">
        <v>1870291</v>
      </c>
      <c r="BV5" s="1">
        <v>418410</v>
      </c>
      <c r="BW5" s="1">
        <v>856796</v>
      </c>
      <c r="BX5" s="1">
        <v>56334</v>
      </c>
      <c r="BY5" s="1">
        <v>136585</v>
      </c>
      <c r="BZ5" s="1">
        <v>719750</v>
      </c>
      <c r="CA5" s="1">
        <v>32673</v>
      </c>
      <c r="CB5" s="1">
        <v>67510</v>
      </c>
      <c r="CC5" s="2">
        <v>3.07</v>
      </c>
      <c r="CD5" s="1">
        <v>322930</v>
      </c>
      <c r="CE5" s="1">
        <v>657875</v>
      </c>
      <c r="CF5" s="1">
        <v>426156</v>
      </c>
      <c r="CG5" s="1">
        <v>503089</v>
      </c>
      <c r="CH5" s="1">
        <v>236733</v>
      </c>
      <c r="CI5" s="1">
        <v>89612</v>
      </c>
      <c r="CJ5" s="1">
        <v>52307</v>
      </c>
      <c r="CK5" s="2">
        <v>47.61</v>
      </c>
      <c r="CL5" s="1">
        <v>67802</v>
      </c>
      <c r="CM5" s="1">
        <v>352488</v>
      </c>
      <c r="CN5" s="1">
        <v>548289</v>
      </c>
      <c r="CO5" s="1">
        <v>487311</v>
      </c>
      <c r="CP5" s="1">
        <v>407451</v>
      </c>
      <c r="CQ5" s="1">
        <v>267897</v>
      </c>
      <c r="CR5" s="1">
        <v>116847</v>
      </c>
      <c r="CS5" s="1">
        <v>40615</v>
      </c>
      <c r="CT5" s="1">
        <v>39301</v>
      </c>
      <c r="CU5" s="1">
        <v>421659</v>
      </c>
      <c r="CV5" s="1">
        <v>1827742</v>
      </c>
      <c r="CW5" s="1">
        <v>43325</v>
      </c>
      <c r="CX5" s="1">
        <v>110081</v>
      </c>
      <c r="CY5" s="1">
        <v>121595</v>
      </c>
      <c r="CZ5" s="1">
        <v>45674</v>
      </c>
      <c r="DA5" s="1">
        <v>24286</v>
      </c>
      <c r="DB5" s="1">
        <v>31054</v>
      </c>
      <c r="DC5" s="1">
        <v>38419</v>
      </c>
      <c r="DD5" s="1">
        <v>38193</v>
      </c>
      <c r="DE5" s="1">
        <v>42063</v>
      </c>
      <c r="DF5" s="1">
        <v>45649</v>
      </c>
      <c r="DG5" s="1">
        <v>53000</v>
      </c>
      <c r="DH5" s="1">
        <v>54871</v>
      </c>
      <c r="DI5" s="1">
        <v>117948</v>
      </c>
      <c r="DJ5" s="1">
        <v>189907</v>
      </c>
      <c r="DK5" s="1">
        <v>350153</v>
      </c>
      <c r="DL5" s="1">
        <v>280536</v>
      </c>
      <c r="DM5" s="1">
        <v>281582</v>
      </c>
      <c r="DN5" s="1">
        <v>354489</v>
      </c>
      <c r="DO5" s="1">
        <v>340878</v>
      </c>
      <c r="DP5" s="1">
        <v>70701</v>
      </c>
      <c r="DQ5" s="1">
        <v>91751</v>
      </c>
      <c r="DR5" s="1">
        <v>120423</v>
      </c>
      <c r="DS5" s="1">
        <v>134007</v>
      </c>
      <c r="DT5" s="1">
        <v>119513</v>
      </c>
      <c r="DU5" s="1">
        <v>94231</v>
      </c>
      <c r="DV5" s="1">
        <v>75498</v>
      </c>
      <c r="DW5" s="2">
        <v>86888.03</v>
      </c>
      <c r="DX5" s="2">
        <v>41032.370000000003</v>
      </c>
      <c r="DY5" s="2">
        <v>2975.6</v>
      </c>
      <c r="DZ5" s="2">
        <v>660.12</v>
      </c>
      <c r="EA5" s="2">
        <v>3146.19</v>
      </c>
      <c r="EB5" s="2">
        <v>2916.71</v>
      </c>
      <c r="EC5" s="2">
        <v>5077.5600000000004</v>
      </c>
      <c r="ED5" s="2">
        <v>12641.66</v>
      </c>
      <c r="EE5" s="2">
        <v>7075.84</v>
      </c>
      <c r="EF5" s="2">
        <v>3140.99</v>
      </c>
      <c r="EG5" s="2">
        <v>18137.97</v>
      </c>
      <c r="EH5" s="2">
        <v>3474.1</v>
      </c>
      <c r="EI5" s="2">
        <v>1650.22</v>
      </c>
      <c r="EJ5" s="2">
        <v>1167.51</v>
      </c>
      <c r="EK5" s="2">
        <v>189.2</v>
      </c>
      <c r="EL5" s="2">
        <v>446.54</v>
      </c>
      <c r="EM5" s="2">
        <v>15893.63</v>
      </c>
      <c r="EN5" s="2">
        <v>6047.71</v>
      </c>
      <c r="EO5" s="2">
        <v>2246.48</v>
      </c>
      <c r="EP5" s="1">
        <v>64900</v>
      </c>
      <c r="EQ5" s="1">
        <v>8174</v>
      </c>
      <c r="ER5" s="1">
        <v>920</v>
      </c>
      <c r="ES5" s="1">
        <v>18830</v>
      </c>
      <c r="ET5" s="1">
        <v>87627</v>
      </c>
      <c r="EU5" s="1">
        <v>149284</v>
      </c>
      <c r="EV5" s="1">
        <v>202817</v>
      </c>
      <c r="EW5" s="1">
        <v>11079</v>
      </c>
      <c r="EX5" s="1">
        <v>46679</v>
      </c>
      <c r="EY5" s="1">
        <v>8494</v>
      </c>
      <c r="EZ5" s="1">
        <v>597834</v>
      </c>
      <c r="FA5" s="1">
        <v>31444</v>
      </c>
      <c r="FB5" s="1">
        <v>488997</v>
      </c>
      <c r="FC5" s="1">
        <v>95485</v>
      </c>
      <c r="FD5" s="1">
        <v>61298</v>
      </c>
      <c r="FE5" s="1">
        <v>327339</v>
      </c>
      <c r="FF5" s="1">
        <v>9528</v>
      </c>
      <c r="FG5" s="1">
        <v>829662</v>
      </c>
      <c r="FH5" s="1">
        <v>176413</v>
      </c>
      <c r="FI5" s="1">
        <v>19834</v>
      </c>
      <c r="FJ5" s="1">
        <v>1990</v>
      </c>
      <c r="FK5" s="1">
        <v>3433</v>
      </c>
      <c r="FL5" s="1">
        <v>18515</v>
      </c>
      <c r="FM5" s="1">
        <v>2382</v>
      </c>
      <c r="FN5" s="1">
        <v>157142</v>
      </c>
      <c r="FO5" s="1">
        <v>1281522</v>
      </c>
      <c r="FP5" s="1">
        <v>67</v>
      </c>
      <c r="FQ5" s="1">
        <v>44</v>
      </c>
      <c r="FR5" s="1">
        <v>41</v>
      </c>
      <c r="FS5" s="1">
        <v>55</v>
      </c>
      <c r="FT5" s="1">
        <v>52</v>
      </c>
      <c r="FU5" s="1">
        <v>38</v>
      </c>
      <c r="FV5" s="1">
        <v>70</v>
      </c>
      <c r="FW5" s="1">
        <v>52</v>
      </c>
      <c r="FX5" s="1">
        <v>74</v>
      </c>
      <c r="FY5" s="1">
        <v>79</v>
      </c>
      <c r="FZ5" s="3">
        <v>0.83399999999999996</v>
      </c>
      <c r="GA5" s="3">
        <v>1.238</v>
      </c>
      <c r="GB5" s="3">
        <v>-0.59099999999999997</v>
      </c>
      <c r="GC5" s="3">
        <v>6.6000000000000003E-2</v>
      </c>
      <c r="GD5" s="3">
        <v>0.76700000000000002</v>
      </c>
      <c r="GE5" s="3">
        <v>-0.16900000000000001</v>
      </c>
      <c r="GF5" s="3">
        <v>0.40799999999999997</v>
      </c>
      <c r="GG5" s="3">
        <v>9.4E-2</v>
      </c>
      <c r="GH5" s="3">
        <v>-2E-3</v>
      </c>
      <c r="GI5" s="3">
        <v>-0.30499999999999999</v>
      </c>
      <c r="GJ5" s="3">
        <v>0.219</v>
      </c>
      <c r="GK5" s="3">
        <v>-0.19400000000000001</v>
      </c>
      <c r="GL5" s="3">
        <v>2.8849999999999998</v>
      </c>
      <c r="GM5" s="3">
        <v>-0.26100000000000001</v>
      </c>
      <c r="GN5" s="3">
        <v>0.10299999999999999</v>
      </c>
      <c r="GO5" s="3">
        <v>4.8000000000000001E-2</v>
      </c>
      <c r="GP5" s="3">
        <v>0.24199999999999999</v>
      </c>
      <c r="GQ5" s="3">
        <v>0.193</v>
      </c>
      <c r="GR5" s="3">
        <v>-1.7000000000000001E-2</v>
      </c>
      <c r="GS5" s="3">
        <v>0.191</v>
      </c>
      <c r="GT5" s="3">
        <v>-0.186</v>
      </c>
      <c r="GU5" s="3">
        <v>3.5999999999999997E-2</v>
      </c>
      <c r="GV5" s="3">
        <v>-9.9000000000000005E-2</v>
      </c>
      <c r="GW5" s="3">
        <v>-0.115</v>
      </c>
      <c r="GX5" s="3">
        <v>-0.09</v>
      </c>
      <c r="GY5" s="3">
        <v>-4.1000000000000002E-2</v>
      </c>
      <c r="GZ5" s="4">
        <v>117</v>
      </c>
      <c r="HA5" s="4">
        <v>125</v>
      </c>
      <c r="HB5" s="4">
        <v>116</v>
      </c>
      <c r="HC5" s="4">
        <v>118</v>
      </c>
      <c r="HD5" s="4">
        <v>93</v>
      </c>
      <c r="HE5" s="4">
        <v>113</v>
      </c>
      <c r="HF5" s="1">
        <v>7980</v>
      </c>
      <c r="HG5" s="1">
        <v>5533</v>
      </c>
      <c r="HH5" s="1">
        <v>5377</v>
      </c>
      <c r="HI5" s="1">
        <v>5303</v>
      </c>
      <c r="HJ5" s="1">
        <v>5050</v>
      </c>
      <c r="HK5" s="1">
        <v>5450</v>
      </c>
      <c r="HL5" s="1">
        <v>3687</v>
      </c>
      <c r="HM5" s="1">
        <v>8875</v>
      </c>
      <c r="HN5" s="1">
        <v>10816</v>
      </c>
      <c r="HO5" s="1">
        <v>11917</v>
      </c>
      <c r="HP5" s="1">
        <v>14476</v>
      </c>
      <c r="HQ5" s="1">
        <v>17421</v>
      </c>
      <c r="HR5" s="1">
        <v>17072</v>
      </c>
      <c r="HS5" s="1">
        <v>56693</v>
      </c>
      <c r="HT5" s="1">
        <v>69537</v>
      </c>
      <c r="HU5" s="1">
        <v>119440</v>
      </c>
      <c r="HV5" s="1">
        <v>110243</v>
      </c>
      <c r="HW5" s="1">
        <v>236826</v>
      </c>
      <c r="HX5" s="1">
        <v>214387</v>
      </c>
      <c r="HY5" s="1">
        <v>292650</v>
      </c>
      <c r="HZ5" s="1">
        <v>154627</v>
      </c>
      <c r="IA5" s="1">
        <v>156682</v>
      </c>
      <c r="IB5" s="1">
        <v>46269</v>
      </c>
      <c r="IC5" s="1">
        <v>33343</v>
      </c>
      <c r="ID5" s="1">
        <v>271719</v>
      </c>
      <c r="IE5" s="1">
        <v>1139</v>
      </c>
      <c r="IF5" s="1">
        <v>1044</v>
      </c>
      <c r="IG5" s="1">
        <v>1199</v>
      </c>
      <c r="IH5" s="1">
        <v>1411</v>
      </c>
      <c r="II5" s="1">
        <v>1453</v>
      </c>
      <c r="IJ5" s="1">
        <v>1576</v>
      </c>
      <c r="IK5" s="1">
        <v>2060</v>
      </c>
      <c r="IL5" s="1">
        <v>3014</v>
      </c>
      <c r="IM5" s="1">
        <v>2851</v>
      </c>
      <c r="IN5" s="1">
        <v>4939</v>
      </c>
      <c r="IO5" s="1">
        <v>4028</v>
      </c>
      <c r="IP5" s="1">
        <v>6083</v>
      </c>
      <c r="IQ5" s="1">
        <v>6034</v>
      </c>
      <c r="IR5" s="1">
        <v>6734</v>
      </c>
      <c r="IS5" s="1">
        <v>7920</v>
      </c>
      <c r="IT5" s="1">
        <v>17066</v>
      </c>
      <c r="IU5" s="1">
        <v>17198</v>
      </c>
      <c r="IV5" s="1">
        <v>51619</v>
      </c>
      <c r="IW5">
        <v>46928</v>
      </c>
      <c r="IX5">
        <v>63550</v>
      </c>
      <c r="IY5">
        <v>37028</v>
      </c>
      <c r="IZ5">
        <v>14805</v>
      </c>
      <c r="JA5">
        <v>1289</v>
      </c>
      <c r="JB5">
        <v>1499732</v>
      </c>
      <c r="JC5">
        <v>106501</v>
      </c>
      <c r="JD5">
        <v>2632</v>
      </c>
      <c r="JE5">
        <v>6211</v>
      </c>
      <c r="JF5">
        <v>7477</v>
      </c>
      <c r="JG5">
        <v>3597</v>
      </c>
      <c r="JH5">
        <v>2155</v>
      </c>
      <c r="JI5">
        <v>2574</v>
      </c>
      <c r="JJ5">
        <v>22653</v>
      </c>
      <c r="JK5">
        <v>464</v>
      </c>
      <c r="JL5">
        <v>165704</v>
      </c>
      <c r="JM5">
        <v>27029</v>
      </c>
      <c r="JN5">
        <v>5139</v>
      </c>
      <c r="JO5">
        <v>11377</v>
      </c>
      <c r="JP5">
        <v>21179</v>
      </c>
      <c r="JQ5">
        <v>23681</v>
      </c>
      <c r="JR5">
        <v>16577</v>
      </c>
      <c r="JS5">
        <v>19065</v>
      </c>
      <c r="JT5">
        <v>5096</v>
      </c>
      <c r="JU5">
        <v>120</v>
      </c>
      <c r="JV5">
        <v>316863</v>
      </c>
      <c r="JW5">
        <v>753170</v>
      </c>
      <c r="JX5">
        <v>379810</v>
      </c>
      <c r="JY5">
        <v>151145</v>
      </c>
      <c r="JZ5">
        <v>124935</v>
      </c>
      <c r="KA5">
        <v>74465</v>
      </c>
      <c r="KB5">
        <v>67621</v>
      </c>
      <c r="KC5">
        <v>28573</v>
      </c>
      <c r="KD5">
        <v>52381</v>
      </c>
      <c r="KE5">
        <v>15659</v>
      </c>
      <c r="KF5">
        <v>14605</v>
      </c>
      <c r="KG5">
        <v>143691</v>
      </c>
      <c r="KH5">
        <v>276229</v>
      </c>
      <c r="KI5">
        <v>98833</v>
      </c>
      <c r="KJ5">
        <v>316533</v>
      </c>
      <c r="KK5">
        <v>111699</v>
      </c>
      <c r="KL5">
        <v>25983</v>
      </c>
      <c r="KM5">
        <v>76543</v>
      </c>
      <c r="KN5">
        <v>191863</v>
      </c>
      <c r="KO5">
        <v>69709</v>
      </c>
      <c r="KP5">
        <v>260531</v>
      </c>
      <c r="KQ5">
        <v>3355</v>
      </c>
      <c r="KR5">
        <v>102047</v>
      </c>
      <c r="KS5">
        <v>263318</v>
      </c>
      <c r="KT5">
        <v>375184</v>
      </c>
      <c r="KU5">
        <v>63347</v>
      </c>
      <c r="KV5">
        <v>159742</v>
      </c>
      <c r="KW5">
        <v>121840</v>
      </c>
      <c r="KX5">
        <v>179014</v>
      </c>
      <c r="KY5">
        <v>1907107</v>
      </c>
      <c r="KZ5">
        <v>145222</v>
      </c>
      <c r="LA5">
        <v>195265</v>
      </c>
      <c r="LB5">
        <v>239082</v>
      </c>
      <c r="LC5">
        <v>112097</v>
      </c>
      <c r="LD5">
        <v>103468</v>
      </c>
      <c r="LE5">
        <v>163740</v>
      </c>
      <c r="LF5">
        <v>3744</v>
      </c>
      <c r="LG5">
        <v>1420138</v>
      </c>
      <c r="LH5">
        <v>25446</v>
      </c>
      <c r="LI5">
        <v>219263</v>
      </c>
      <c r="LJ5">
        <v>11305</v>
      </c>
      <c r="LK5">
        <v>104662</v>
      </c>
      <c r="LL5">
        <v>26101</v>
      </c>
      <c r="LM5">
        <v>118461</v>
      </c>
      <c r="LN5">
        <v>1578</v>
      </c>
      <c r="LO5">
        <v>22009</v>
      </c>
      <c r="LP5">
        <v>5967.4819299999999</v>
      </c>
      <c r="LQ5">
        <v>1115.5268000000001</v>
      </c>
    </row>
    <row r="6" spans="1:329" x14ac:dyDescent="0.25">
      <c r="A6" s="5" t="s">
        <v>328</v>
      </c>
      <c r="B6" s="5" t="s">
        <v>262</v>
      </c>
      <c r="C6" s="1">
        <v>3975230</v>
      </c>
      <c r="D6" s="1">
        <v>4735893</v>
      </c>
      <c r="E6" s="1">
        <v>4938190</v>
      </c>
      <c r="F6" s="1">
        <v>5186449</v>
      </c>
      <c r="G6" s="1">
        <v>5367276</v>
      </c>
      <c r="H6" s="1">
        <v>1343836</v>
      </c>
      <c r="I6" s="1">
        <v>1658439</v>
      </c>
      <c r="J6" s="1">
        <v>1802644</v>
      </c>
      <c r="K6" s="1">
        <v>1946590</v>
      </c>
      <c r="L6" s="1">
        <v>2021916</v>
      </c>
      <c r="M6" s="1">
        <v>1996832</v>
      </c>
      <c r="N6" s="1">
        <v>1732407</v>
      </c>
      <c r="O6" s="1">
        <v>214184</v>
      </c>
      <c r="P6" s="1">
        <v>50241</v>
      </c>
      <c r="Q6" s="1">
        <v>82437</v>
      </c>
      <c r="R6" s="1">
        <v>17954</v>
      </c>
      <c r="S6" s="1">
        <v>54</v>
      </c>
      <c r="T6" s="1">
        <v>4632033</v>
      </c>
      <c r="U6" s="1">
        <v>527108</v>
      </c>
      <c r="V6" s="1">
        <v>27308</v>
      </c>
      <c r="W6" s="1">
        <v>3651</v>
      </c>
      <c r="X6" s="1">
        <v>6</v>
      </c>
      <c r="Y6" s="2">
        <v>44.11</v>
      </c>
      <c r="Z6" s="1">
        <v>249822</v>
      </c>
      <c r="AA6" s="1">
        <v>301568</v>
      </c>
      <c r="AB6" s="1">
        <v>350850</v>
      </c>
      <c r="AC6" s="1">
        <v>330963</v>
      </c>
      <c r="AD6" s="1">
        <v>236434</v>
      </c>
      <c r="AE6" s="1">
        <v>234133</v>
      </c>
      <c r="AF6" s="1">
        <v>256553</v>
      </c>
      <c r="AG6" s="1">
        <v>306554</v>
      </c>
      <c r="AH6" s="1">
        <v>318186</v>
      </c>
      <c r="AI6" s="1">
        <v>371987</v>
      </c>
      <c r="AJ6" s="1">
        <v>409474</v>
      </c>
      <c r="AK6" s="1">
        <v>460735</v>
      </c>
      <c r="AL6" s="1">
        <v>428915</v>
      </c>
      <c r="AM6" s="1">
        <v>340121</v>
      </c>
      <c r="AN6" s="1">
        <v>247822</v>
      </c>
      <c r="AO6" s="1">
        <v>156767</v>
      </c>
      <c r="AP6" s="1">
        <v>93438</v>
      </c>
      <c r="AQ6" s="1">
        <v>92130</v>
      </c>
      <c r="AR6" s="1">
        <v>2556321</v>
      </c>
      <c r="AS6" s="1">
        <v>2630127</v>
      </c>
      <c r="AT6" s="1">
        <v>4022301</v>
      </c>
      <c r="AU6" s="1">
        <v>319426</v>
      </c>
      <c r="AV6" s="1">
        <v>15413</v>
      </c>
      <c r="AW6" s="1">
        <v>305375</v>
      </c>
      <c r="AX6" s="1">
        <v>3825</v>
      </c>
      <c r="AY6" s="1">
        <v>4307</v>
      </c>
      <c r="AZ6" s="1">
        <v>104742</v>
      </c>
      <c r="BA6" s="1">
        <v>411414</v>
      </c>
      <c r="BB6" s="1">
        <v>4284210</v>
      </c>
      <c r="BC6" s="1">
        <v>1012804</v>
      </c>
      <c r="BD6" s="1">
        <v>2614692</v>
      </c>
      <c r="BE6" s="1">
        <v>109018</v>
      </c>
      <c r="BF6" s="1">
        <v>207885</v>
      </c>
      <c r="BG6" s="1">
        <v>339811</v>
      </c>
      <c r="BH6" s="1">
        <v>3716813</v>
      </c>
      <c r="BI6" s="1">
        <v>54889</v>
      </c>
      <c r="BJ6" s="1">
        <v>92556</v>
      </c>
      <c r="BK6" s="1">
        <v>643864</v>
      </c>
      <c r="BL6" s="1">
        <v>679985</v>
      </c>
      <c r="BM6" s="1">
        <v>312110</v>
      </c>
      <c r="BN6" s="1">
        <v>1125603</v>
      </c>
      <c r="BO6" s="1">
        <v>807806</v>
      </c>
      <c r="BP6" s="1">
        <v>4213977</v>
      </c>
      <c r="BQ6" s="1">
        <v>11153</v>
      </c>
      <c r="BR6" s="1">
        <v>2714515</v>
      </c>
      <c r="BS6" s="1">
        <v>66753</v>
      </c>
      <c r="BT6" s="1">
        <v>1421556</v>
      </c>
      <c r="BU6" s="1">
        <v>1517848</v>
      </c>
      <c r="BV6" s="1">
        <v>428742</v>
      </c>
      <c r="BW6" s="1">
        <v>520475</v>
      </c>
      <c r="BX6" s="1">
        <v>32518</v>
      </c>
      <c r="BY6" s="1">
        <v>79196</v>
      </c>
      <c r="BZ6" s="1">
        <v>793234</v>
      </c>
      <c r="CA6" s="1">
        <v>28412</v>
      </c>
      <c r="CB6" s="1">
        <v>63691</v>
      </c>
      <c r="CC6" s="2">
        <v>2.65</v>
      </c>
      <c r="CD6" s="1">
        <v>351150</v>
      </c>
      <c r="CE6" s="1">
        <v>760978</v>
      </c>
      <c r="CF6" s="1">
        <v>331059</v>
      </c>
      <c r="CG6" s="1">
        <v>310595</v>
      </c>
      <c r="CH6" s="1">
        <v>128715</v>
      </c>
      <c r="CI6" s="1">
        <v>42580</v>
      </c>
      <c r="CJ6" s="1">
        <v>21513</v>
      </c>
      <c r="CK6" s="2">
        <v>54.76</v>
      </c>
      <c r="CL6" s="1">
        <v>47441</v>
      </c>
      <c r="CM6" s="1">
        <v>194129</v>
      </c>
      <c r="CN6" s="1">
        <v>299400</v>
      </c>
      <c r="CO6" s="1">
        <v>396319</v>
      </c>
      <c r="CP6" s="1">
        <v>471344</v>
      </c>
      <c r="CQ6" s="1">
        <v>330847</v>
      </c>
      <c r="CR6" s="1">
        <v>151090</v>
      </c>
      <c r="CS6" s="1">
        <v>56020</v>
      </c>
      <c r="CT6" s="1">
        <v>41188</v>
      </c>
      <c r="CU6" s="1">
        <v>382748</v>
      </c>
      <c r="CV6" s="1">
        <v>1522654</v>
      </c>
      <c r="CW6" s="1">
        <v>53751</v>
      </c>
      <c r="CX6" s="1">
        <v>113502</v>
      </c>
      <c r="CY6" s="1">
        <v>129184</v>
      </c>
      <c r="CZ6" s="1">
        <v>36236</v>
      </c>
      <c r="DA6" s="1">
        <v>20427</v>
      </c>
      <c r="DB6" s="1">
        <v>28829</v>
      </c>
      <c r="DC6" s="1">
        <v>35331</v>
      </c>
      <c r="DD6" s="1">
        <v>35554</v>
      </c>
      <c r="DE6" s="1">
        <v>38279</v>
      </c>
      <c r="DF6" s="1">
        <v>41688</v>
      </c>
      <c r="DG6" s="1">
        <v>45491</v>
      </c>
      <c r="DH6" s="1">
        <v>46052</v>
      </c>
      <c r="DI6" s="1">
        <v>97269</v>
      </c>
      <c r="DJ6" s="1">
        <v>154148</v>
      </c>
      <c r="DK6" s="1">
        <v>273938</v>
      </c>
      <c r="DL6" s="1">
        <v>222276</v>
      </c>
      <c r="DM6" s="1">
        <v>230451</v>
      </c>
      <c r="DN6" s="1">
        <v>303348</v>
      </c>
      <c r="DO6" s="1">
        <v>337276</v>
      </c>
      <c r="DP6" s="1">
        <v>70923</v>
      </c>
      <c r="DQ6" s="1">
        <v>93074</v>
      </c>
      <c r="DR6" s="1">
        <v>124738</v>
      </c>
      <c r="DS6" s="1">
        <v>139383</v>
      </c>
      <c r="DT6" s="1">
        <v>126442</v>
      </c>
      <c r="DU6" s="1">
        <v>96509</v>
      </c>
      <c r="DV6" s="1">
        <v>76476</v>
      </c>
      <c r="DW6" s="2">
        <v>91249.01</v>
      </c>
      <c r="DX6" s="2">
        <v>42968.44</v>
      </c>
      <c r="DY6" s="2">
        <v>3208.65</v>
      </c>
      <c r="DZ6" s="2">
        <v>704.51</v>
      </c>
      <c r="EA6" s="2">
        <v>3276.11</v>
      </c>
      <c r="EB6" s="2">
        <v>3093.66</v>
      </c>
      <c r="EC6" s="2">
        <v>5347.38</v>
      </c>
      <c r="ED6" s="2">
        <v>13182.51</v>
      </c>
      <c r="EE6" s="2">
        <v>7502.2</v>
      </c>
      <c r="EF6" s="2">
        <v>3310.86</v>
      </c>
      <c r="EG6" s="2">
        <v>18993.04</v>
      </c>
      <c r="EH6" s="2">
        <v>3675.83</v>
      </c>
      <c r="EI6" s="2">
        <v>1745.1</v>
      </c>
      <c r="EJ6" s="2">
        <v>1226.4100000000001</v>
      </c>
      <c r="EK6" s="2">
        <v>202.11</v>
      </c>
      <c r="EL6" s="2">
        <v>460.84</v>
      </c>
      <c r="EM6" s="2">
        <v>16583.34</v>
      </c>
      <c r="EN6" s="2">
        <v>6313.56</v>
      </c>
      <c r="EO6" s="2">
        <v>2422.9</v>
      </c>
      <c r="EP6" s="1">
        <v>76644</v>
      </c>
      <c r="EQ6" s="1">
        <v>9079</v>
      </c>
      <c r="ER6" s="1">
        <v>1406</v>
      </c>
      <c r="ES6" s="1">
        <v>21785</v>
      </c>
      <c r="ET6" s="1">
        <v>100779</v>
      </c>
      <c r="EU6" s="1">
        <v>172448</v>
      </c>
      <c r="EV6" s="1">
        <v>237839</v>
      </c>
      <c r="EW6" s="1">
        <v>13351</v>
      </c>
      <c r="EX6" s="1">
        <v>50061</v>
      </c>
      <c r="EY6" s="1">
        <v>7930</v>
      </c>
      <c r="EZ6" s="1">
        <v>689794</v>
      </c>
      <c r="FA6" s="1">
        <v>30881</v>
      </c>
      <c r="FB6" s="1">
        <v>518854</v>
      </c>
      <c r="FC6" s="1">
        <v>101241</v>
      </c>
      <c r="FD6" s="1">
        <v>55886</v>
      </c>
      <c r="FE6" s="1">
        <v>331992</v>
      </c>
      <c r="FF6" s="1">
        <v>9812</v>
      </c>
      <c r="FG6" s="1">
        <v>849956</v>
      </c>
      <c r="FH6" s="1">
        <v>182530</v>
      </c>
      <c r="FI6" s="1">
        <v>19349</v>
      </c>
      <c r="FJ6" s="1">
        <v>2134</v>
      </c>
      <c r="FK6" s="1">
        <v>3421</v>
      </c>
      <c r="FL6" s="1">
        <v>18759</v>
      </c>
      <c r="FM6" s="1">
        <v>2566</v>
      </c>
      <c r="FN6" s="1">
        <v>157997</v>
      </c>
      <c r="FO6" s="1">
        <v>1388055</v>
      </c>
      <c r="FP6" s="1">
        <v>47</v>
      </c>
      <c r="FQ6" s="1">
        <v>31</v>
      </c>
      <c r="FR6" s="1">
        <v>31</v>
      </c>
      <c r="FS6" s="1">
        <v>64</v>
      </c>
      <c r="FT6" s="1">
        <v>24</v>
      </c>
      <c r="FU6" s="1">
        <v>29</v>
      </c>
      <c r="FV6" s="1">
        <v>49</v>
      </c>
      <c r="FW6" s="1">
        <v>46</v>
      </c>
      <c r="FX6" s="1">
        <v>52</v>
      </c>
      <c r="FY6" s="1">
        <v>32</v>
      </c>
      <c r="FZ6" s="3">
        <v>0.998</v>
      </c>
      <c r="GA6" s="3">
        <v>0.97699999999999998</v>
      </c>
      <c r="GB6" s="3">
        <v>0.35299999999999998</v>
      </c>
      <c r="GC6" s="3">
        <v>-0.20499999999999999</v>
      </c>
      <c r="GD6" s="3">
        <v>0.94599999999999995</v>
      </c>
      <c r="GE6" s="3">
        <v>-9.0999999999999998E-2</v>
      </c>
      <c r="GF6" s="3">
        <v>-0.27900000000000003</v>
      </c>
      <c r="GG6" s="3">
        <v>0.05</v>
      </c>
      <c r="GH6" s="3">
        <v>0.69</v>
      </c>
      <c r="GI6" s="3">
        <v>0.104</v>
      </c>
      <c r="GJ6" s="3">
        <v>0.64600000000000002</v>
      </c>
      <c r="GK6" s="3">
        <v>-0.27700000000000002</v>
      </c>
      <c r="GL6" s="3">
        <v>-0.318</v>
      </c>
      <c r="GM6" s="3">
        <v>-0.14399999999999999</v>
      </c>
      <c r="GN6" s="3">
        <v>-0.17199999999999999</v>
      </c>
      <c r="GO6" s="3">
        <v>1.4999999999999999E-2</v>
      </c>
      <c r="GP6" s="3">
        <v>0.33100000000000002</v>
      </c>
      <c r="GQ6" s="3">
        <v>5.3999999999999999E-2</v>
      </c>
      <c r="GR6" s="3">
        <v>9.4E-2</v>
      </c>
      <c r="GS6" s="3">
        <v>0.11</v>
      </c>
      <c r="GT6" s="3">
        <v>-4.2000000000000003E-2</v>
      </c>
      <c r="GU6" s="3">
        <v>-5.3999999999999999E-2</v>
      </c>
      <c r="GV6" s="3">
        <v>-0.159</v>
      </c>
      <c r="GW6" s="3">
        <v>-5.6000000000000001E-2</v>
      </c>
      <c r="GX6" s="3">
        <v>0.05</v>
      </c>
      <c r="GY6" s="3">
        <v>-2.7E-2</v>
      </c>
      <c r="GZ6" s="4">
        <v>120</v>
      </c>
      <c r="HA6" s="4">
        <v>125</v>
      </c>
      <c r="HB6" s="4">
        <v>124</v>
      </c>
      <c r="HC6" s="4">
        <v>129</v>
      </c>
      <c r="HD6" s="4">
        <v>105</v>
      </c>
      <c r="HE6" s="4">
        <v>103</v>
      </c>
      <c r="HF6" s="1">
        <v>6591</v>
      </c>
      <c r="HG6" s="1">
        <v>4712</v>
      </c>
      <c r="HH6" s="1">
        <v>4909</v>
      </c>
      <c r="HI6" s="1">
        <v>4809</v>
      </c>
      <c r="HJ6" s="1">
        <v>4507</v>
      </c>
      <c r="HK6" s="1">
        <v>4972</v>
      </c>
      <c r="HL6" s="1">
        <v>3260</v>
      </c>
      <c r="HM6" s="1">
        <v>7491</v>
      </c>
      <c r="HN6" s="1">
        <v>8910</v>
      </c>
      <c r="HO6" s="1">
        <v>9824</v>
      </c>
      <c r="HP6" s="1">
        <v>12052</v>
      </c>
      <c r="HQ6" s="1">
        <v>14955</v>
      </c>
      <c r="HR6" s="1">
        <v>14714</v>
      </c>
      <c r="HS6" s="1">
        <v>47979</v>
      </c>
      <c r="HT6" s="1">
        <v>54241</v>
      </c>
      <c r="HU6" s="1">
        <v>91652</v>
      </c>
      <c r="HV6" s="1">
        <v>88881</v>
      </c>
      <c r="HW6" s="1">
        <v>215563</v>
      </c>
      <c r="HX6" s="1">
        <v>217553</v>
      </c>
      <c r="HY6" s="1">
        <v>358895</v>
      </c>
      <c r="HZ6" s="1">
        <v>196108</v>
      </c>
      <c r="IA6" s="1">
        <v>163723</v>
      </c>
      <c r="IB6" s="1">
        <v>44602</v>
      </c>
      <c r="IC6" s="1">
        <v>32028</v>
      </c>
      <c r="ID6" s="1">
        <v>297446</v>
      </c>
      <c r="IE6" s="1">
        <v>1352</v>
      </c>
      <c r="IF6" s="1">
        <v>1327</v>
      </c>
      <c r="IG6" s="1">
        <v>1068</v>
      </c>
      <c r="IH6" s="1">
        <v>1349</v>
      </c>
      <c r="II6" s="1">
        <v>1358</v>
      </c>
      <c r="IJ6" s="1">
        <v>1743</v>
      </c>
      <c r="IK6" s="1">
        <v>1894</v>
      </c>
      <c r="IL6" s="1">
        <v>2844</v>
      </c>
      <c r="IM6" s="1">
        <v>2708</v>
      </c>
      <c r="IN6" s="1">
        <v>4187</v>
      </c>
      <c r="IO6" s="1">
        <v>3425</v>
      </c>
      <c r="IP6" s="1">
        <v>5174</v>
      </c>
      <c r="IQ6" s="1">
        <v>5111</v>
      </c>
      <c r="IR6" s="1">
        <v>5549</v>
      </c>
      <c r="IS6" s="1">
        <v>5396</v>
      </c>
      <c r="IT6" s="1">
        <v>12250</v>
      </c>
      <c r="IU6" s="1">
        <v>10694</v>
      </c>
      <c r="IV6" s="1">
        <v>36679</v>
      </c>
      <c r="IW6">
        <v>23719</v>
      </c>
      <c r="IX6">
        <v>31805</v>
      </c>
      <c r="IY6">
        <v>10405</v>
      </c>
      <c r="IZ6">
        <v>7417</v>
      </c>
      <c r="JA6">
        <v>1247</v>
      </c>
      <c r="JB6">
        <v>1212135</v>
      </c>
      <c r="JC6">
        <v>63992</v>
      </c>
      <c r="JD6">
        <v>3757</v>
      </c>
      <c r="JE6">
        <v>4882</v>
      </c>
      <c r="JF6">
        <v>4869</v>
      </c>
      <c r="JG6">
        <v>2888</v>
      </c>
      <c r="JH6">
        <v>1970</v>
      </c>
      <c r="JI6">
        <v>2041</v>
      </c>
      <c r="JJ6">
        <v>15537</v>
      </c>
      <c r="JK6">
        <v>198</v>
      </c>
      <c r="JL6">
        <v>81782</v>
      </c>
      <c r="JM6">
        <v>13470</v>
      </c>
      <c r="JN6">
        <v>5292</v>
      </c>
      <c r="JO6">
        <v>7361</v>
      </c>
      <c r="JP6">
        <v>8257</v>
      </c>
      <c r="JQ6">
        <v>7404</v>
      </c>
      <c r="JR6">
        <v>5304</v>
      </c>
      <c r="JS6">
        <v>8812</v>
      </c>
      <c r="JT6">
        <v>1899</v>
      </c>
      <c r="JU6">
        <v>146</v>
      </c>
      <c r="JV6">
        <v>69979</v>
      </c>
      <c r="JW6">
        <v>94872</v>
      </c>
      <c r="JX6">
        <v>249931</v>
      </c>
      <c r="JY6">
        <v>383645</v>
      </c>
      <c r="JZ6">
        <v>300945</v>
      </c>
      <c r="KA6">
        <v>146738</v>
      </c>
      <c r="KB6">
        <v>96195</v>
      </c>
      <c r="KC6">
        <v>34878</v>
      </c>
      <c r="KD6">
        <v>74813</v>
      </c>
      <c r="KE6">
        <v>9893</v>
      </c>
      <c r="KF6">
        <v>10186</v>
      </c>
      <c r="KG6">
        <v>102308</v>
      </c>
      <c r="KH6">
        <v>186575</v>
      </c>
      <c r="KI6">
        <v>63922</v>
      </c>
      <c r="KJ6">
        <v>204454</v>
      </c>
      <c r="KK6">
        <v>64173</v>
      </c>
      <c r="KL6">
        <v>18707</v>
      </c>
      <c r="KM6">
        <v>48536</v>
      </c>
      <c r="KN6">
        <v>121269</v>
      </c>
      <c r="KO6">
        <v>46596</v>
      </c>
      <c r="KP6">
        <v>207567</v>
      </c>
      <c r="KQ6">
        <v>2484</v>
      </c>
      <c r="KR6">
        <v>65553</v>
      </c>
      <c r="KS6">
        <v>231894</v>
      </c>
      <c r="KT6">
        <v>268461</v>
      </c>
      <c r="KU6">
        <v>44817</v>
      </c>
      <c r="KV6">
        <v>96168</v>
      </c>
      <c r="KW6">
        <v>87975</v>
      </c>
      <c r="KX6">
        <v>138414</v>
      </c>
      <c r="KY6">
        <v>1224826</v>
      </c>
      <c r="KZ6">
        <v>119730</v>
      </c>
      <c r="LA6">
        <v>176464</v>
      </c>
      <c r="LB6">
        <v>179469</v>
      </c>
      <c r="LC6">
        <v>97650</v>
      </c>
      <c r="LD6">
        <v>90324</v>
      </c>
      <c r="LE6">
        <v>128691</v>
      </c>
      <c r="LF6">
        <v>2798</v>
      </c>
      <c r="LG6">
        <v>1230188</v>
      </c>
      <c r="LH6">
        <v>7068</v>
      </c>
      <c r="LI6">
        <v>77311</v>
      </c>
      <c r="LJ6">
        <v>5875</v>
      </c>
      <c r="LK6">
        <v>72085</v>
      </c>
      <c r="LL6">
        <v>7937</v>
      </c>
      <c r="LM6">
        <v>39231</v>
      </c>
      <c r="LN6">
        <v>1036</v>
      </c>
      <c r="LO6">
        <v>11265</v>
      </c>
      <c r="LP6">
        <v>5621.3857399999997</v>
      </c>
      <c r="LQ6">
        <v>722.23240999999996</v>
      </c>
    </row>
    <row r="7" spans="1:329" x14ac:dyDescent="0.25">
      <c r="A7" s="5" t="s">
        <v>329</v>
      </c>
      <c r="B7" s="5" t="s">
        <v>263</v>
      </c>
      <c r="C7" s="1">
        <v>3325513</v>
      </c>
      <c r="D7" s="1">
        <v>3457562</v>
      </c>
      <c r="E7" s="1">
        <v>3524840</v>
      </c>
      <c r="F7" s="1">
        <v>3619995</v>
      </c>
      <c r="G7" s="1">
        <v>3664416</v>
      </c>
      <c r="H7" s="1">
        <v>1149915</v>
      </c>
      <c r="I7" s="1">
        <v>1222611</v>
      </c>
      <c r="J7" s="1">
        <v>1247127</v>
      </c>
      <c r="K7" s="1">
        <v>1302482</v>
      </c>
      <c r="L7" s="1">
        <v>1332920</v>
      </c>
      <c r="M7" s="1">
        <v>1332834</v>
      </c>
      <c r="N7" s="1">
        <v>1104800</v>
      </c>
      <c r="O7" s="1">
        <v>197682</v>
      </c>
      <c r="P7" s="1">
        <v>30352</v>
      </c>
      <c r="Q7" s="1">
        <v>50979</v>
      </c>
      <c r="R7" s="1">
        <v>9065</v>
      </c>
      <c r="S7" s="1">
        <v>27</v>
      </c>
      <c r="T7" s="1">
        <v>3182646</v>
      </c>
      <c r="U7" s="1">
        <v>404747</v>
      </c>
      <c r="V7" s="1">
        <v>32602</v>
      </c>
      <c r="W7" s="1">
        <v>3775</v>
      </c>
      <c r="X7" s="1">
        <v>113</v>
      </c>
      <c r="Y7" s="2">
        <v>41.62</v>
      </c>
      <c r="Z7" s="1">
        <v>193464</v>
      </c>
      <c r="AA7" s="1">
        <v>211792</v>
      </c>
      <c r="AB7" s="1">
        <v>230002</v>
      </c>
      <c r="AC7" s="1">
        <v>217940</v>
      </c>
      <c r="AD7" s="1">
        <v>195787</v>
      </c>
      <c r="AE7" s="1">
        <v>198422</v>
      </c>
      <c r="AF7" s="1">
        <v>208971</v>
      </c>
      <c r="AG7" s="1">
        <v>232709</v>
      </c>
      <c r="AH7" s="1">
        <v>230396</v>
      </c>
      <c r="AI7" s="1">
        <v>254529</v>
      </c>
      <c r="AJ7" s="1">
        <v>266157</v>
      </c>
      <c r="AK7" s="1">
        <v>282947</v>
      </c>
      <c r="AL7" s="1">
        <v>253416</v>
      </c>
      <c r="AM7" s="1">
        <v>205481</v>
      </c>
      <c r="AN7" s="1">
        <v>161438</v>
      </c>
      <c r="AO7" s="1">
        <v>112218</v>
      </c>
      <c r="AP7" s="1">
        <v>76385</v>
      </c>
      <c r="AQ7" s="1">
        <v>87941</v>
      </c>
      <c r="AR7" s="1">
        <v>1769445</v>
      </c>
      <c r="AS7" s="1">
        <v>1850550</v>
      </c>
      <c r="AT7" s="1">
        <v>2564596</v>
      </c>
      <c r="AU7" s="1">
        <v>214559</v>
      </c>
      <c r="AV7" s="1">
        <v>5018</v>
      </c>
      <c r="AW7" s="1">
        <v>304697</v>
      </c>
      <c r="AX7" s="1">
        <v>1939</v>
      </c>
      <c r="AY7" s="1">
        <v>4338</v>
      </c>
      <c r="AZ7" s="1">
        <v>61667</v>
      </c>
      <c r="BA7" s="1">
        <v>463367</v>
      </c>
      <c r="BB7" s="1">
        <v>2984737</v>
      </c>
      <c r="BC7" s="1">
        <v>854688</v>
      </c>
      <c r="BD7" s="1">
        <v>1621667</v>
      </c>
      <c r="BE7" s="1">
        <v>101497</v>
      </c>
      <c r="BF7" s="1">
        <v>177861</v>
      </c>
      <c r="BG7" s="1">
        <v>229024</v>
      </c>
      <c r="BH7" s="1">
        <v>2571009</v>
      </c>
      <c r="BI7" s="1">
        <v>70400</v>
      </c>
      <c r="BJ7" s="1">
        <v>87718</v>
      </c>
      <c r="BK7" s="1">
        <v>550187</v>
      </c>
      <c r="BL7" s="1">
        <v>423745</v>
      </c>
      <c r="BM7" s="1">
        <v>211269</v>
      </c>
      <c r="BN7" s="1">
        <v>704072</v>
      </c>
      <c r="BO7" s="1">
        <v>523618</v>
      </c>
      <c r="BP7" s="1">
        <v>2938652</v>
      </c>
      <c r="BQ7" s="1">
        <v>2996</v>
      </c>
      <c r="BR7" s="1">
        <v>1917307</v>
      </c>
      <c r="BS7" s="1">
        <v>60196</v>
      </c>
      <c r="BT7" s="1">
        <v>958153</v>
      </c>
      <c r="BU7" s="1">
        <v>978077</v>
      </c>
      <c r="BV7" s="1">
        <v>324405</v>
      </c>
      <c r="BW7" s="1">
        <v>353796</v>
      </c>
      <c r="BX7" s="1">
        <v>21168</v>
      </c>
      <c r="BY7" s="1">
        <v>60733</v>
      </c>
      <c r="BZ7" s="1">
        <v>446317</v>
      </c>
      <c r="CA7" s="1">
        <v>27839</v>
      </c>
      <c r="CB7" s="1">
        <v>68066</v>
      </c>
      <c r="CC7" s="2">
        <v>2.75</v>
      </c>
      <c r="CD7" s="1">
        <v>263097</v>
      </c>
      <c r="CE7" s="1">
        <v>417837</v>
      </c>
      <c r="CF7" s="1">
        <v>234969</v>
      </c>
      <c r="CG7" s="1">
        <v>229965</v>
      </c>
      <c r="CH7" s="1">
        <v>100957</v>
      </c>
      <c r="CI7" s="1">
        <v>34612</v>
      </c>
      <c r="CJ7" s="1">
        <v>21044</v>
      </c>
      <c r="CK7" s="2">
        <v>54.36</v>
      </c>
      <c r="CL7" s="1">
        <v>23115</v>
      </c>
      <c r="CM7" s="1">
        <v>139100</v>
      </c>
      <c r="CN7" s="1">
        <v>214500</v>
      </c>
      <c r="CO7" s="1">
        <v>264201</v>
      </c>
      <c r="CP7" s="1">
        <v>287971</v>
      </c>
      <c r="CQ7" s="1">
        <v>207437</v>
      </c>
      <c r="CR7" s="1">
        <v>112898</v>
      </c>
      <c r="CS7" s="1">
        <v>53260</v>
      </c>
      <c r="CT7" s="1">
        <v>51730</v>
      </c>
      <c r="CU7" s="1">
        <v>332222</v>
      </c>
      <c r="CV7" s="1">
        <v>918530</v>
      </c>
      <c r="CW7" s="1">
        <v>50836</v>
      </c>
      <c r="CX7" s="1">
        <v>113314</v>
      </c>
      <c r="CY7" s="1">
        <v>132022</v>
      </c>
      <c r="CZ7" s="1">
        <v>28709</v>
      </c>
      <c r="DA7" s="1">
        <v>18052</v>
      </c>
      <c r="DB7" s="1">
        <v>23105</v>
      </c>
      <c r="DC7" s="1">
        <v>28298</v>
      </c>
      <c r="DD7" s="1">
        <v>26007</v>
      </c>
      <c r="DE7" s="1">
        <v>27068</v>
      </c>
      <c r="DF7" s="1">
        <v>28727</v>
      </c>
      <c r="DG7" s="1">
        <v>31355</v>
      </c>
      <c r="DH7" s="1">
        <v>31615</v>
      </c>
      <c r="DI7" s="1">
        <v>64868</v>
      </c>
      <c r="DJ7" s="1">
        <v>97720</v>
      </c>
      <c r="DK7" s="1">
        <v>172085</v>
      </c>
      <c r="DL7" s="1">
        <v>138246</v>
      </c>
      <c r="DM7" s="1">
        <v>144962</v>
      </c>
      <c r="DN7" s="1">
        <v>206404</v>
      </c>
      <c r="DO7" s="1">
        <v>235260</v>
      </c>
      <c r="DP7" s="1">
        <v>63983</v>
      </c>
      <c r="DQ7" s="1">
        <v>93361</v>
      </c>
      <c r="DR7" s="1">
        <v>126542</v>
      </c>
      <c r="DS7" s="1">
        <v>140124</v>
      </c>
      <c r="DT7" s="1">
        <v>127061</v>
      </c>
      <c r="DU7" s="1">
        <v>97825</v>
      </c>
      <c r="DV7" s="1">
        <v>76739</v>
      </c>
      <c r="DW7" s="2">
        <v>90272.08</v>
      </c>
      <c r="DX7" s="2">
        <v>42440.57</v>
      </c>
      <c r="DY7" s="2">
        <v>3175.41</v>
      </c>
      <c r="DZ7" s="2">
        <v>695.44</v>
      </c>
      <c r="EA7" s="2">
        <v>3256.45</v>
      </c>
      <c r="EB7" s="2">
        <v>3101.31</v>
      </c>
      <c r="EC7" s="2">
        <v>5285.18</v>
      </c>
      <c r="ED7" s="2">
        <v>13047.45</v>
      </c>
      <c r="EE7" s="2">
        <v>7379.93</v>
      </c>
      <c r="EF7" s="2">
        <v>3268.54</v>
      </c>
      <c r="EG7" s="2">
        <v>18831.759999999998</v>
      </c>
      <c r="EH7" s="2">
        <v>3643.76</v>
      </c>
      <c r="EI7" s="2">
        <v>1726.92</v>
      </c>
      <c r="EJ7" s="2">
        <v>1213.06</v>
      </c>
      <c r="EK7" s="2">
        <v>199.65</v>
      </c>
      <c r="EL7" s="2">
        <v>455</v>
      </c>
      <c r="EM7" s="2">
        <v>16350.41</v>
      </c>
      <c r="EN7" s="2">
        <v>6240.46</v>
      </c>
      <c r="EO7" s="2">
        <v>2401.35</v>
      </c>
      <c r="EP7" s="1">
        <v>99472</v>
      </c>
      <c r="EQ7" s="1">
        <v>10995</v>
      </c>
      <c r="ER7" s="1">
        <v>2457</v>
      </c>
      <c r="ES7" s="1">
        <v>27974</v>
      </c>
      <c r="ET7" s="1">
        <v>130692</v>
      </c>
      <c r="EU7" s="1">
        <v>205730</v>
      </c>
      <c r="EV7" s="1">
        <v>299821</v>
      </c>
      <c r="EW7" s="1">
        <v>15214</v>
      </c>
      <c r="EX7" s="1">
        <v>57187</v>
      </c>
      <c r="EY7" s="1">
        <v>6657</v>
      </c>
      <c r="EZ7" s="1">
        <v>852724</v>
      </c>
      <c r="FA7" s="1">
        <v>28782</v>
      </c>
      <c r="FB7" s="1">
        <v>646766</v>
      </c>
      <c r="FC7" s="1">
        <v>122049</v>
      </c>
      <c r="FD7" s="1">
        <v>34943</v>
      </c>
      <c r="FE7" s="1">
        <v>295495</v>
      </c>
      <c r="FF7" s="1">
        <v>10124</v>
      </c>
      <c r="FG7" s="1">
        <v>895964</v>
      </c>
      <c r="FH7" s="1">
        <v>232848</v>
      </c>
      <c r="FI7" s="1">
        <v>17868</v>
      </c>
      <c r="FJ7" s="1">
        <v>1947</v>
      </c>
      <c r="FK7" s="1">
        <v>3620</v>
      </c>
      <c r="FL7" s="1">
        <v>22678</v>
      </c>
      <c r="FM7" s="1">
        <v>2790</v>
      </c>
      <c r="FN7" s="1">
        <v>177666</v>
      </c>
      <c r="FO7" s="1">
        <v>1570636</v>
      </c>
      <c r="FP7" s="1">
        <v>49</v>
      </c>
      <c r="FQ7" s="1">
        <v>33</v>
      </c>
      <c r="FR7" s="1">
        <v>24</v>
      </c>
      <c r="FS7" s="1">
        <v>49</v>
      </c>
      <c r="FT7" s="1">
        <v>36</v>
      </c>
      <c r="FU7" s="1">
        <v>29</v>
      </c>
      <c r="FV7" s="1">
        <v>51</v>
      </c>
      <c r="FW7" s="1">
        <v>44</v>
      </c>
      <c r="FX7" s="1">
        <v>55</v>
      </c>
      <c r="FY7" s="1">
        <v>39</v>
      </c>
      <c r="FZ7" s="3">
        <v>0.91</v>
      </c>
      <c r="GA7" s="3">
        <v>0.82599999999999996</v>
      </c>
      <c r="GB7" s="3">
        <v>0.30499999999999999</v>
      </c>
      <c r="GC7" s="3">
        <v>-3.3000000000000002E-2</v>
      </c>
      <c r="GD7" s="3">
        <v>0.498</v>
      </c>
      <c r="GE7" s="3">
        <v>8.6999999999999994E-2</v>
      </c>
      <c r="GF7" s="3">
        <v>7.9000000000000001E-2</v>
      </c>
      <c r="GG7" s="3">
        <v>0.28599999999999998</v>
      </c>
      <c r="GH7" s="3">
        <v>-0.69599999999999995</v>
      </c>
      <c r="GI7" s="3">
        <v>0.13500000000000001</v>
      </c>
      <c r="GJ7" s="3">
        <v>1.5049999999999999</v>
      </c>
      <c r="GK7" s="3">
        <v>-0.39</v>
      </c>
      <c r="GL7" s="3">
        <v>-0.40400000000000003</v>
      </c>
      <c r="GM7" s="3">
        <v>-0.40200000000000002</v>
      </c>
      <c r="GN7" s="3">
        <v>0.04</v>
      </c>
      <c r="GO7" s="3">
        <v>-2.9000000000000001E-2</v>
      </c>
      <c r="GP7" s="3">
        <v>-5.2999999999999999E-2</v>
      </c>
      <c r="GQ7" s="3">
        <v>0.13500000000000001</v>
      </c>
      <c r="GR7" s="3">
        <v>1.2E-2</v>
      </c>
      <c r="GS7" s="3">
        <v>7.3999999999999996E-2</v>
      </c>
      <c r="GT7" s="3">
        <v>-1.7999999999999999E-2</v>
      </c>
      <c r="GU7" s="3">
        <v>-0.10100000000000001</v>
      </c>
      <c r="GV7" s="3">
        <v>-0.2</v>
      </c>
      <c r="GW7" s="3">
        <v>-4.9000000000000002E-2</v>
      </c>
      <c r="GX7" s="3">
        <v>-2.1000000000000001E-2</v>
      </c>
      <c r="GY7" s="3">
        <v>3.1E-2</v>
      </c>
      <c r="GZ7" s="4">
        <v>124</v>
      </c>
      <c r="HA7" s="4">
        <v>117</v>
      </c>
      <c r="HB7" s="4">
        <v>140</v>
      </c>
      <c r="HC7" s="4">
        <v>137</v>
      </c>
      <c r="HD7" s="4">
        <v>143</v>
      </c>
      <c r="HE7" s="4">
        <v>93</v>
      </c>
      <c r="HF7" s="1">
        <v>2943</v>
      </c>
      <c r="HG7" s="1">
        <v>1579</v>
      </c>
      <c r="HH7" s="1">
        <v>1434</v>
      </c>
      <c r="HI7" s="1">
        <v>1887</v>
      </c>
      <c r="HJ7" s="1">
        <v>1851</v>
      </c>
      <c r="HK7" s="1">
        <v>2530</v>
      </c>
      <c r="HL7" s="1">
        <v>1921</v>
      </c>
      <c r="HM7" s="1">
        <v>4921</v>
      </c>
      <c r="HN7" s="1">
        <v>4738</v>
      </c>
      <c r="HO7" s="1">
        <v>4594</v>
      </c>
      <c r="HP7" s="1">
        <v>5435</v>
      </c>
      <c r="HQ7" s="1">
        <v>6322</v>
      </c>
      <c r="HR7" s="1">
        <v>5799</v>
      </c>
      <c r="HS7" s="1">
        <v>17460</v>
      </c>
      <c r="HT7" s="1">
        <v>17338</v>
      </c>
      <c r="HU7" s="1">
        <v>27621</v>
      </c>
      <c r="HV7" s="1">
        <v>25099</v>
      </c>
      <c r="HW7" s="1">
        <v>66875</v>
      </c>
      <c r="HX7" s="1">
        <v>78698</v>
      </c>
      <c r="HY7" s="1">
        <v>252233</v>
      </c>
      <c r="HZ7" s="1">
        <v>249340</v>
      </c>
      <c r="IA7" s="1">
        <v>213879</v>
      </c>
      <c r="IB7" s="1">
        <v>44406</v>
      </c>
      <c r="IC7" s="1">
        <v>23222</v>
      </c>
      <c r="ID7" s="1">
        <v>399914</v>
      </c>
      <c r="IE7" s="1">
        <v>1409</v>
      </c>
      <c r="IF7" s="1">
        <v>1335</v>
      </c>
      <c r="IG7" s="1">
        <v>1240</v>
      </c>
      <c r="IH7" s="1">
        <v>1884</v>
      </c>
      <c r="II7" s="1">
        <v>1140</v>
      </c>
      <c r="IJ7" s="1">
        <v>1237</v>
      </c>
      <c r="IK7" s="1">
        <v>1402</v>
      </c>
      <c r="IL7" s="1">
        <v>1671</v>
      </c>
      <c r="IM7" s="1">
        <v>1619</v>
      </c>
      <c r="IN7" s="1">
        <v>2695</v>
      </c>
      <c r="IO7" s="1">
        <v>2129</v>
      </c>
      <c r="IP7" s="1">
        <v>3515</v>
      </c>
      <c r="IQ7" s="1">
        <v>3012</v>
      </c>
      <c r="IR7" s="1">
        <v>4085</v>
      </c>
      <c r="IS7" s="1">
        <v>4393</v>
      </c>
      <c r="IT7" s="1">
        <v>11878</v>
      </c>
      <c r="IU7" s="1">
        <v>12241</v>
      </c>
      <c r="IV7" s="1">
        <v>39082</v>
      </c>
      <c r="IW7">
        <v>28095</v>
      </c>
      <c r="IX7">
        <v>39241</v>
      </c>
      <c r="IY7">
        <v>14385</v>
      </c>
      <c r="IZ7">
        <v>11752</v>
      </c>
      <c r="JA7">
        <v>1196</v>
      </c>
      <c r="JB7">
        <v>1101753</v>
      </c>
      <c r="JC7">
        <v>44106</v>
      </c>
      <c r="JD7">
        <v>26964</v>
      </c>
      <c r="JE7">
        <v>7052</v>
      </c>
      <c r="JF7">
        <v>5462</v>
      </c>
      <c r="JG7">
        <v>4064</v>
      </c>
      <c r="JH7">
        <v>4364</v>
      </c>
      <c r="JI7">
        <v>7039</v>
      </c>
      <c r="JJ7">
        <v>5968</v>
      </c>
      <c r="JK7">
        <v>75</v>
      </c>
      <c r="JL7">
        <v>73810</v>
      </c>
      <c r="JM7">
        <v>9641</v>
      </c>
      <c r="JN7">
        <v>36149</v>
      </c>
      <c r="JO7">
        <v>19059</v>
      </c>
      <c r="JP7">
        <v>12614</v>
      </c>
      <c r="JQ7">
        <v>12344</v>
      </c>
      <c r="JR7">
        <v>11212</v>
      </c>
      <c r="JS7">
        <v>17267</v>
      </c>
      <c r="JT7">
        <v>1126</v>
      </c>
      <c r="JU7">
        <v>183</v>
      </c>
      <c r="JV7">
        <v>34707</v>
      </c>
      <c r="JW7">
        <v>40071</v>
      </c>
      <c r="JX7">
        <v>78929</v>
      </c>
      <c r="JY7">
        <v>96666</v>
      </c>
      <c r="JZ7">
        <v>133301</v>
      </c>
      <c r="KA7">
        <v>203835</v>
      </c>
      <c r="KB7">
        <v>375291</v>
      </c>
      <c r="KC7">
        <v>148536</v>
      </c>
      <c r="KD7">
        <v>288916</v>
      </c>
      <c r="KE7">
        <v>4423</v>
      </c>
      <c r="KF7">
        <v>842</v>
      </c>
      <c r="KG7">
        <v>113327</v>
      </c>
      <c r="KH7">
        <v>142097</v>
      </c>
      <c r="KI7">
        <v>63146</v>
      </c>
      <c r="KJ7">
        <v>207177</v>
      </c>
      <c r="KK7">
        <v>78214</v>
      </c>
      <c r="KL7">
        <v>17978</v>
      </c>
      <c r="KM7">
        <v>62949</v>
      </c>
      <c r="KN7">
        <v>142063</v>
      </c>
      <c r="KO7">
        <v>40728</v>
      </c>
      <c r="KP7">
        <v>180641</v>
      </c>
      <c r="KQ7">
        <v>1909</v>
      </c>
      <c r="KR7">
        <v>64460</v>
      </c>
      <c r="KS7">
        <v>247388</v>
      </c>
      <c r="KT7">
        <v>274631</v>
      </c>
      <c r="KU7">
        <v>40108</v>
      </c>
      <c r="KV7">
        <v>89016</v>
      </c>
      <c r="KW7">
        <v>87951</v>
      </c>
      <c r="KX7">
        <v>110390</v>
      </c>
      <c r="KY7">
        <v>1231691</v>
      </c>
      <c r="KZ7">
        <v>94059</v>
      </c>
      <c r="LA7">
        <v>181385</v>
      </c>
      <c r="LB7">
        <v>225972</v>
      </c>
      <c r="LC7">
        <v>79479</v>
      </c>
      <c r="LD7">
        <v>48145</v>
      </c>
      <c r="LE7">
        <v>107219</v>
      </c>
      <c r="LF7">
        <v>1488</v>
      </c>
      <c r="LG7">
        <v>1081892</v>
      </c>
      <c r="LH7">
        <v>13724</v>
      </c>
      <c r="LI7">
        <v>94904</v>
      </c>
      <c r="LJ7">
        <v>17350</v>
      </c>
      <c r="LK7">
        <v>122496</v>
      </c>
      <c r="LL7">
        <v>10498</v>
      </c>
      <c r="LM7">
        <v>43918</v>
      </c>
      <c r="LN7">
        <v>1254</v>
      </c>
      <c r="LO7">
        <v>14216</v>
      </c>
      <c r="LP7">
        <v>1716.02539</v>
      </c>
      <c r="LQ7">
        <v>2357.5851600000001</v>
      </c>
    </row>
    <row r="8" spans="1:329" x14ac:dyDescent="0.25">
      <c r="A8" s="5" t="s">
        <v>330</v>
      </c>
      <c r="B8" s="5" t="s">
        <v>264</v>
      </c>
      <c r="C8" s="1">
        <v>1735296</v>
      </c>
      <c r="D8" s="1">
        <v>2557911</v>
      </c>
      <c r="E8" s="1">
        <v>3129068</v>
      </c>
      <c r="F8" s="1">
        <v>3452938</v>
      </c>
      <c r="G8" s="1">
        <v>3550095</v>
      </c>
      <c r="H8" s="1">
        <v>647591</v>
      </c>
      <c r="I8" s="1">
        <v>969796</v>
      </c>
      <c r="J8" s="1">
        <v>1189092</v>
      </c>
      <c r="K8" s="1">
        <v>1323032</v>
      </c>
      <c r="L8" s="1">
        <v>1372796</v>
      </c>
      <c r="M8" s="1">
        <v>1352478</v>
      </c>
      <c r="N8" s="1">
        <v>986306</v>
      </c>
      <c r="O8" s="1">
        <v>336727</v>
      </c>
      <c r="P8" s="1">
        <v>29445</v>
      </c>
      <c r="Q8" s="1">
        <v>58572</v>
      </c>
      <c r="R8" s="1">
        <v>8148</v>
      </c>
      <c r="S8" s="1">
        <v>51</v>
      </c>
      <c r="T8" s="1">
        <v>2899283</v>
      </c>
      <c r="U8" s="1">
        <v>531866</v>
      </c>
      <c r="V8" s="1">
        <v>21789</v>
      </c>
      <c r="W8" s="1">
        <v>2871</v>
      </c>
      <c r="X8" s="1">
        <v>45</v>
      </c>
      <c r="Y8" s="2">
        <v>37.04</v>
      </c>
      <c r="Z8" s="1">
        <v>218050</v>
      </c>
      <c r="AA8" s="1">
        <v>216583</v>
      </c>
      <c r="AB8" s="1">
        <v>219033</v>
      </c>
      <c r="AC8" s="1">
        <v>198050</v>
      </c>
      <c r="AD8" s="1">
        <v>183008</v>
      </c>
      <c r="AE8" s="1">
        <v>245239</v>
      </c>
      <c r="AF8" s="1">
        <v>276649</v>
      </c>
      <c r="AG8" s="1">
        <v>279680</v>
      </c>
      <c r="AH8" s="1">
        <v>247069</v>
      </c>
      <c r="AI8" s="1">
        <v>247791</v>
      </c>
      <c r="AJ8" s="1">
        <v>236502</v>
      </c>
      <c r="AK8" s="1">
        <v>236097</v>
      </c>
      <c r="AL8" s="1">
        <v>204463</v>
      </c>
      <c r="AM8" s="1">
        <v>156455</v>
      </c>
      <c r="AN8" s="1">
        <v>115657</v>
      </c>
      <c r="AO8" s="1">
        <v>75378</v>
      </c>
      <c r="AP8" s="1">
        <v>47882</v>
      </c>
      <c r="AQ8" s="1">
        <v>49348</v>
      </c>
      <c r="AR8" s="1">
        <v>1669203</v>
      </c>
      <c r="AS8" s="1">
        <v>1783735</v>
      </c>
      <c r="AT8" s="1">
        <v>1765816</v>
      </c>
      <c r="AU8" s="1">
        <v>443260</v>
      </c>
      <c r="AV8" s="1">
        <v>7451</v>
      </c>
      <c r="AW8" s="1">
        <v>682671</v>
      </c>
      <c r="AX8" s="1">
        <v>5021</v>
      </c>
      <c r="AY8" s="1">
        <v>5837</v>
      </c>
      <c r="AZ8" s="1">
        <v>107458</v>
      </c>
      <c r="BA8" s="1">
        <v>435540</v>
      </c>
      <c r="BB8" s="1">
        <v>2799271</v>
      </c>
      <c r="BC8" s="1">
        <v>840443</v>
      </c>
      <c r="BD8" s="1">
        <v>1447493</v>
      </c>
      <c r="BE8" s="1">
        <v>117124</v>
      </c>
      <c r="BF8" s="1">
        <v>119257</v>
      </c>
      <c r="BG8" s="1">
        <v>274954</v>
      </c>
      <c r="BH8" s="1">
        <v>2418212</v>
      </c>
      <c r="BI8" s="1">
        <v>64168</v>
      </c>
      <c r="BJ8" s="1">
        <v>73926</v>
      </c>
      <c r="BK8" s="1">
        <v>400172</v>
      </c>
      <c r="BL8" s="1">
        <v>416196</v>
      </c>
      <c r="BM8" s="1">
        <v>191512</v>
      </c>
      <c r="BN8" s="1">
        <v>730183</v>
      </c>
      <c r="BO8" s="1">
        <v>542055</v>
      </c>
      <c r="BP8" s="1">
        <v>2757239</v>
      </c>
      <c r="BQ8" s="1">
        <v>13146</v>
      </c>
      <c r="BR8" s="1">
        <v>1912613</v>
      </c>
      <c r="BS8" s="1">
        <v>52260</v>
      </c>
      <c r="BT8" s="1">
        <v>779220</v>
      </c>
      <c r="BU8" s="1">
        <v>901688</v>
      </c>
      <c r="BV8" s="1">
        <v>421344</v>
      </c>
      <c r="BW8" s="1">
        <v>337967</v>
      </c>
      <c r="BX8" s="1">
        <v>27076</v>
      </c>
      <c r="BY8" s="1">
        <v>86686</v>
      </c>
      <c r="BZ8" s="1">
        <v>364363</v>
      </c>
      <c r="CA8" s="1">
        <v>24666</v>
      </c>
      <c r="CB8" s="1">
        <v>60800</v>
      </c>
      <c r="CC8" s="2">
        <v>2.59</v>
      </c>
      <c r="CD8" s="1">
        <v>333914</v>
      </c>
      <c r="CE8" s="1">
        <v>413006</v>
      </c>
      <c r="CF8" s="1">
        <v>236305</v>
      </c>
      <c r="CG8" s="1">
        <v>208466</v>
      </c>
      <c r="CH8" s="1">
        <v>83053</v>
      </c>
      <c r="CI8" s="1">
        <v>30124</v>
      </c>
      <c r="CJ8" s="1">
        <v>18163</v>
      </c>
      <c r="CK8" s="2">
        <v>49.23</v>
      </c>
      <c r="CL8" s="1">
        <v>32782</v>
      </c>
      <c r="CM8" s="1">
        <v>214860</v>
      </c>
      <c r="CN8" s="1">
        <v>271927</v>
      </c>
      <c r="CO8" s="1">
        <v>271363</v>
      </c>
      <c r="CP8" s="1">
        <v>257716</v>
      </c>
      <c r="CQ8" s="1">
        <v>165061</v>
      </c>
      <c r="CR8" s="1">
        <v>78097</v>
      </c>
      <c r="CS8" s="1">
        <v>31227</v>
      </c>
      <c r="CT8" s="1">
        <v>43836</v>
      </c>
      <c r="CU8" s="1">
        <v>411042</v>
      </c>
      <c r="CV8" s="1">
        <v>868156</v>
      </c>
      <c r="CW8" s="1">
        <v>49644</v>
      </c>
      <c r="CX8" s="1">
        <v>103974</v>
      </c>
      <c r="CY8" s="1">
        <v>123054</v>
      </c>
      <c r="CZ8" s="1">
        <v>34455</v>
      </c>
      <c r="DA8" s="1">
        <v>19666</v>
      </c>
      <c r="DB8" s="1">
        <v>22159</v>
      </c>
      <c r="DC8" s="1">
        <v>26555</v>
      </c>
      <c r="DD8" s="1">
        <v>25585</v>
      </c>
      <c r="DE8" s="1">
        <v>27835</v>
      </c>
      <c r="DF8" s="1">
        <v>30106</v>
      </c>
      <c r="DG8" s="1">
        <v>32791</v>
      </c>
      <c r="DH8" s="1">
        <v>33829</v>
      </c>
      <c r="DI8" s="1">
        <v>71519</v>
      </c>
      <c r="DJ8" s="1">
        <v>114182</v>
      </c>
      <c r="DK8" s="1">
        <v>198506</v>
      </c>
      <c r="DL8" s="1">
        <v>153003</v>
      </c>
      <c r="DM8" s="1">
        <v>148612</v>
      </c>
      <c r="DN8" s="1">
        <v>191681</v>
      </c>
      <c r="DO8" s="1">
        <v>192548</v>
      </c>
      <c r="DP8" s="1">
        <v>62773</v>
      </c>
      <c r="DQ8" s="1">
        <v>91975</v>
      </c>
      <c r="DR8" s="1">
        <v>118284</v>
      </c>
      <c r="DS8" s="1">
        <v>125502</v>
      </c>
      <c r="DT8" s="1">
        <v>111546</v>
      </c>
      <c r="DU8" s="1">
        <v>90769</v>
      </c>
      <c r="DV8" s="1">
        <v>72024</v>
      </c>
      <c r="DW8" s="2">
        <v>84852.25</v>
      </c>
      <c r="DX8" s="2">
        <v>39958.089999999997</v>
      </c>
      <c r="DY8" s="2">
        <v>2915.43</v>
      </c>
      <c r="DZ8" s="2">
        <v>638.29999999999995</v>
      </c>
      <c r="EA8" s="2">
        <v>3055.62</v>
      </c>
      <c r="EB8" s="2">
        <v>2835.75</v>
      </c>
      <c r="EC8" s="2">
        <v>4934.08</v>
      </c>
      <c r="ED8" s="2">
        <v>12332.68</v>
      </c>
      <c r="EE8" s="2">
        <v>6942.35</v>
      </c>
      <c r="EF8" s="2">
        <v>3056.79</v>
      </c>
      <c r="EG8" s="2">
        <v>17779.810000000001</v>
      </c>
      <c r="EH8" s="2">
        <v>3394.26</v>
      </c>
      <c r="EI8" s="2">
        <v>1618</v>
      </c>
      <c r="EJ8" s="2">
        <v>1141.77</v>
      </c>
      <c r="EK8" s="2">
        <v>186.12</v>
      </c>
      <c r="EL8" s="2">
        <v>445.33</v>
      </c>
      <c r="EM8" s="2">
        <v>15436.31</v>
      </c>
      <c r="EN8" s="2">
        <v>5929.58</v>
      </c>
      <c r="EO8" s="2">
        <v>2210.0700000000002</v>
      </c>
      <c r="EP8" s="1">
        <v>68896</v>
      </c>
      <c r="EQ8" s="1">
        <v>8136</v>
      </c>
      <c r="ER8" s="1">
        <v>1264</v>
      </c>
      <c r="ES8" s="1">
        <v>19332</v>
      </c>
      <c r="ET8" s="1">
        <v>92925</v>
      </c>
      <c r="EU8" s="1">
        <v>153655</v>
      </c>
      <c r="EV8" s="1">
        <v>212697</v>
      </c>
      <c r="EW8" s="1">
        <v>11269</v>
      </c>
      <c r="EX8" s="1">
        <v>46528</v>
      </c>
      <c r="EY8" s="1">
        <v>7533</v>
      </c>
      <c r="EZ8" s="1">
        <v>620464</v>
      </c>
      <c r="FA8" s="1">
        <v>29774</v>
      </c>
      <c r="FB8" s="1">
        <v>531648</v>
      </c>
      <c r="FC8" s="1">
        <v>95842</v>
      </c>
      <c r="FD8" s="1">
        <v>50823</v>
      </c>
      <c r="FE8" s="1">
        <v>295687</v>
      </c>
      <c r="FF8" s="1">
        <v>9320</v>
      </c>
      <c r="FG8" s="1">
        <v>794299</v>
      </c>
      <c r="FH8" s="1">
        <v>200122</v>
      </c>
      <c r="FI8" s="1">
        <v>18988</v>
      </c>
      <c r="FJ8" s="1">
        <v>1898</v>
      </c>
      <c r="FK8" s="1">
        <v>3353</v>
      </c>
      <c r="FL8" s="1">
        <v>18270</v>
      </c>
      <c r="FM8" s="1">
        <v>2377</v>
      </c>
      <c r="FN8" s="1">
        <v>154177</v>
      </c>
      <c r="FO8" s="1">
        <v>1268639</v>
      </c>
      <c r="FP8" s="1">
        <v>62</v>
      </c>
      <c r="FQ8" s="1">
        <v>39</v>
      </c>
      <c r="FR8" s="1">
        <v>32</v>
      </c>
      <c r="FS8" s="1">
        <v>47</v>
      </c>
      <c r="FT8" s="1">
        <v>47</v>
      </c>
      <c r="FU8" s="1">
        <v>34</v>
      </c>
      <c r="FV8" s="1">
        <v>66</v>
      </c>
      <c r="FW8" s="1">
        <v>45</v>
      </c>
      <c r="FX8" s="1">
        <v>73</v>
      </c>
      <c r="FY8" s="1">
        <v>54</v>
      </c>
      <c r="FZ8" s="3">
        <v>1.1160000000000001</v>
      </c>
      <c r="GA8" s="3">
        <v>0.252</v>
      </c>
      <c r="GB8" s="3">
        <v>-0.216</v>
      </c>
      <c r="GC8" s="3">
        <v>-0.185</v>
      </c>
      <c r="GD8" s="3">
        <v>0.69199999999999995</v>
      </c>
      <c r="GE8" s="3">
        <v>-0.33700000000000002</v>
      </c>
      <c r="GF8" s="3">
        <v>0.64100000000000001</v>
      </c>
      <c r="GG8" s="3">
        <v>0.115</v>
      </c>
      <c r="GH8" s="3">
        <v>0.92100000000000004</v>
      </c>
      <c r="GI8" s="3">
        <v>-0.16900000000000001</v>
      </c>
      <c r="GJ8" s="3">
        <v>1.0129999999999999</v>
      </c>
      <c r="GK8" s="3">
        <v>-0.29199999999999998</v>
      </c>
      <c r="GL8" s="3">
        <v>0.66200000000000003</v>
      </c>
      <c r="GM8" s="3">
        <v>-0.79100000000000004</v>
      </c>
      <c r="GN8" s="3">
        <v>0.112</v>
      </c>
      <c r="GO8" s="3">
        <v>3.1E-2</v>
      </c>
      <c r="GP8" s="3">
        <v>-0.35</v>
      </c>
      <c r="GQ8" s="3">
        <v>-0.16800000000000001</v>
      </c>
      <c r="GR8" s="3">
        <v>-7.4999999999999997E-2</v>
      </c>
      <c r="GS8" s="3">
        <v>-4.0000000000000001E-3</v>
      </c>
      <c r="GT8" s="3">
        <v>-0.222</v>
      </c>
      <c r="GU8" s="3">
        <v>0.46100000000000002</v>
      </c>
      <c r="GV8" s="3">
        <v>6.7000000000000004E-2</v>
      </c>
      <c r="GW8" s="3">
        <v>-0.4</v>
      </c>
      <c r="GX8" s="3">
        <v>9.9000000000000005E-2</v>
      </c>
      <c r="GY8" s="3">
        <v>-0.17100000000000001</v>
      </c>
      <c r="GZ8" s="4">
        <v>121</v>
      </c>
      <c r="HA8" s="4">
        <v>116</v>
      </c>
      <c r="HB8" s="4">
        <v>128</v>
      </c>
      <c r="HC8" s="4">
        <v>125</v>
      </c>
      <c r="HD8" s="4">
        <v>127</v>
      </c>
      <c r="HE8" s="4">
        <v>120</v>
      </c>
      <c r="HF8" s="1">
        <v>3303</v>
      </c>
      <c r="HG8" s="1">
        <v>2400</v>
      </c>
      <c r="HH8" s="1">
        <v>2009</v>
      </c>
      <c r="HI8" s="1">
        <v>2638</v>
      </c>
      <c r="HJ8" s="1">
        <v>2247</v>
      </c>
      <c r="HK8" s="1">
        <v>2573</v>
      </c>
      <c r="HL8" s="1">
        <v>1778</v>
      </c>
      <c r="HM8" s="1">
        <v>3862</v>
      </c>
      <c r="HN8" s="1">
        <v>4047</v>
      </c>
      <c r="HO8" s="1">
        <v>4555</v>
      </c>
      <c r="HP8" s="1">
        <v>5712</v>
      </c>
      <c r="HQ8" s="1">
        <v>6628</v>
      </c>
      <c r="HR8" s="1">
        <v>6478</v>
      </c>
      <c r="HS8" s="1">
        <v>21694</v>
      </c>
      <c r="HT8" s="1">
        <v>24338</v>
      </c>
      <c r="HU8" s="1">
        <v>42585</v>
      </c>
      <c r="HV8" s="1">
        <v>44153</v>
      </c>
      <c r="HW8" s="1">
        <v>113114</v>
      </c>
      <c r="HX8" s="1">
        <v>116672</v>
      </c>
      <c r="HY8" s="1">
        <v>201985</v>
      </c>
      <c r="HZ8" s="1">
        <v>119256</v>
      </c>
      <c r="IA8" s="1">
        <v>116937</v>
      </c>
      <c r="IB8" s="1">
        <v>32782</v>
      </c>
      <c r="IC8" s="1">
        <v>19923</v>
      </c>
      <c r="ID8" s="1">
        <v>319826</v>
      </c>
      <c r="IE8" s="1">
        <v>1156</v>
      </c>
      <c r="IF8" s="1">
        <v>1136</v>
      </c>
      <c r="IG8" s="1">
        <v>1451</v>
      </c>
      <c r="IH8" s="1">
        <v>1546</v>
      </c>
      <c r="II8" s="1">
        <v>1212</v>
      </c>
      <c r="IJ8" s="1">
        <v>1365</v>
      </c>
      <c r="IK8" s="1">
        <v>1503</v>
      </c>
      <c r="IL8" s="1">
        <v>1968</v>
      </c>
      <c r="IM8" s="1">
        <v>1832</v>
      </c>
      <c r="IN8" s="1">
        <v>3201</v>
      </c>
      <c r="IO8" s="1">
        <v>2468</v>
      </c>
      <c r="IP8" s="1">
        <v>4605</v>
      </c>
      <c r="IQ8" s="1">
        <v>4701</v>
      </c>
      <c r="IR8" s="1">
        <v>5446</v>
      </c>
      <c r="IS8" s="1">
        <v>5809</v>
      </c>
      <c r="IT8" s="1">
        <v>14521</v>
      </c>
      <c r="IU8" s="1">
        <v>16658</v>
      </c>
      <c r="IV8" s="1">
        <v>52784</v>
      </c>
      <c r="IW8">
        <v>52289</v>
      </c>
      <c r="IX8">
        <v>75297</v>
      </c>
      <c r="IY8">
        <v>27012</v>
      </c>
      <c r="IZ8">
        <v>9156</v>
      </c>
      <c r="JA8">
        <v>1359</v>
      </c>
      <c r="JB8">
        <v>387682</v>
      </c>
      <c r="JC8">
        <v>320003</v>
      </c>
      <c r="JD8">
        <v>7588</v>
      </c>
      <c r="JE8">
        <v>20820</v>
      </c>
      <c r="JF8">
        <v>32892</v>
      </c>
      <c r="JG8">
        <v>29666</v>
      </c>
      <c r="JH8">
        <v>12111</v>
      </c>
      <c r="JI8">
        <v>10073</v>
      </c>
      <c r="JJ8">
        <v>9472</v>
      </c>
      <c r="JK8">
        <v>375</v>
      </c>
      <c r="JL8">
        <v>38759</v>
      </c>
      <c r="JM8">
        <v>70858</v>
      </c>
      <c r="JN8">
        <v>8160</v>
      </c>
      <c r="JO8">
        <v>20530</v>
      </c>
      <c r="JP8">
        <v>36342</v>
      </c>
      <c r="JQ8">
        <v>48480</v>
      </c>
      <c r="JR8">
        <v>20373</v>
      </c>
      <c r="JS8">
        <v>27245</v>
      </c>
      <c r="JT8">
        <v>1546</v>
      </c>
      <c r="JU8">
        <v>84</v>
      </c>
      <c r="JV8">
        <v>76550</v>
      </c>
      <c r="JW8">
        <v>121906</v>
      </c>
      <c r="JX8">
        <v>298014</v>
      </c>
      <c r="JY8">
        <v>273006</v>
      </c>
      <c r="JZ8">
        <v>124870</v>
      </c>
      <c r="KA8">
        <v>66930</v>
      </c>
      <c r="KB8">
        <v>59589</v>
      </c>
      <c r="KC8">
        <v>28634</v>
      </c>
      <c r="KD8">
        <v>53560</v>
      </c>
      <c r="KE8">
        <v>4017</v>
      </c>
      <c r="KF8">
        <v>1722</v>
      </c>
      <c r="KG8">
        <v>62633</v>
      </c>
      <c r="KH8">
        <v>132598</v>
      </c>
      <c r="KI8">
        <v>41505</v>
      </c>
      <c r="KJ8">
        <v>146608</v>
      </c>
      <c r="KK8">
        <v>51186</v>
      </c>
      <c r="KL8">
        <v>9854</v>
      </c>
      <c r="KM8">
        <v>48938</v>
      </c>
      <c r="KN8">
        <v>99429</v>
      </c>
      <c r="KO8">
        <v>33158</v>
      </c>
      <c r="KP8">
        <v>207419</v>
      </c>
      <c r="KQ8">
        <v>1632</v>
      </c>
      <c r="KR8">
        <v>53324</v>
      </c>
      <c r="KS8">
        <v>140323</v>
      </c>
      <c r="KT8">
        <v>183132</v>
      </c>
      <c r="KU8">
        <v>26538</v>
      </c>
      <c r="KV8">
        <v>78284</v>
      </c>
      <c r="KW8">
        <v>70109</v>
      </c>
      <c r="KX8">
        <v>121787</v>
      </c>
      <c r="KY8">
        <v>995936</v>
      </c>
      <c r="KZ8">
        <v>56308</v>
      </c>
      <c r="LA8">
        <v>119259</v>
      </c>
      <c r="LB8">
        <v>115364</v>
      </c>
      <c r="LC8">
        <v>52530</v>
      </c>
      <c r="LD8">
        <v>103757</v>
      </c>
      <c r="LE8">
        <v>69861</v>
      </c>
      <c r="LF8">
        <v>1181</v>
      </c>
      <c r="LG8">
        <v>768731</v>
      </c>
      <c r="LH8">
        <v>13470</v>
      </c>
      <c r="LI8">
        <v>75780</v>
      </c>
      <c r="LJ8">
        <v>12255</v>
      </c>
      <c r="LK8">
        <v>91956</v>
      </c>
      <c r="LL8">
        <v>28560</v>
      </c>
      <c r="LM8">
        <v>91252</v>
      </c>
      <c r="LN8">
        <v>1925</v>
      </c>
      <c r="LO8">
        <v>19130</v>
      </c>
      <c r="LP8">
        <v>1219.4610600000001</v>
      </c>
      <c r="LQ8">
        <v>2475.0384399999998</v>
      </c>
    </row>
    <row r="9" spans="1:329" x14ac:dyDescent="0.25">
      <c r="A9" s="5" t="s">
        <v>331</v>
      </c>
      <c r="B9" s="5" t="s">
        <v>265</v>
      </c>
      <c r="C9" s="1">
        <v>3195956</v>
      </c>
      <c r="D9" s="1">
        <v>3716083</v>
      </c>
      <c r="E9" s="1">
        <v>3973401</v>
      </c>
      <c r="F9" s="1">
        <v>4216688</v>
      </c>
      <c r="G9" s="1">
        <v>4375575</v>
      </c>
      <c r="H9" s="1">
        <v>1207818</v>
      </c>
      <c r="I9" s="1">
        <v>1451040</v>
      </c>
      <c r="J9" s="1">
        <v>1593324</v>
      </c>
      <c r="K9" s="1">
        <v>1745131</v>
      </c>
      <c r="L9" s="1">
        <v>1810071</v>
      </c>
      <c r="M9" s="1">
        <v>1880614</v>
      </c>
      <c r="N9" s="1">
        <v>1449549</v>
      </c>
      <c r="O9" s="1">
        <v>295583</v>
      </c>
      <c r="P9" s="1">
        <v>135482</v>
      </c>
      <c r="Q9" s="1">
        <v>187765</v>
      </c>
      <c r="R9" s="1">
        <v>89664</v>
      </c>
      <c r="S9" s="1">
        <v>239</v>
      </c>
      <c r="T9" s="1">
        <v>3551395</v>
      </c>
      <c r="U9" s="1">
        <v>627136</v>
      </c>
      <c r="V9" s="1">
        <v>38157</v>
      </c>
      <c r="W9" s="1">
        <v>6112</v>
      </c>
      <c r="X9" s="1">
        <v>6</v>
      </c>
      <c r="Y9" s="2">
        <v>47.68</v>
      </c>
      <c r="Z9" s="1">
        <v>180660</v>
      </c>
      <c r="AA9" s="1">
        <v>221193</v>
      </c>
      <c r="AB9" s="1">
        <v>254394</v>
      </c>
      <c r="AC9" s="1">
        <v>236401</v>
      </c>
      <c r="AD9" s="1">
        <v>173192</v>
      </c>
      <c r="AE9" s="1">
        <v>183129</v>
      </c>
      <c r="AF9" s="1">
        <v>190084</v>
      </c>
      <c r="AG9" s="1">
        <v>223413</v>
      </c>
      <c r="AH9" s="1">
        <v>238040</v>
      </c>
      <c r="AI9" s="1">
        <v>282058</v>
      </c>
      <c r="AJ9" s="1">
        <v>316267</v>
      </c>
      <c r="AK9" s="1">
        <v>372614</v>
      </c>
      <c r="AL9" s="1">
        <v>374912</v>
      </c>
      <c r="AM9" s="1">
        <v>328871</v>
      </c>
      <c r="AN9" s="1">
        <v>257454</v>
      </c>
      <c r="AO9" s="1">
        <v>169835</v>
      </c>
      <c r="AP9" s="1">
        <v>105872</v>
      </c>
      <c r="AQ9" s="1">
        <v>108300</v>
      </c>
      <c r="AR9" s="1">
        <v>2066629</v>
      </c>
      <c r="AS9" s="1">
        <v>2150059</v>
      </c>
      <c r="AT9" s="1">
        <v>3445768</v>
      </c>
      <c r="AU9" s="1">
        <v>157202</v>
      </c>
      <c r="AV9" s="1">
        <v>10974</v>
      </c>
      <c r="AW9" s="1">
        <v>191934</v>
      </c>
      <c r="AX9" s="1">
        <v>2512</v>
      </c>
      <c r="AY9" s="1">
        <v>3776</v>
      </c>
      <c r="AZ9" s="1">
        <v>73939</v>
      </c>
      <c r="BA9" s="1">
        <v>330937</v>
      </c>
      <c r="BB9" s="1">
        <v>3560441</v>
      </c>
      <c r="BC9" s="1">
        <v>806458</v>
      </c>
      <c r="BD9" s="1">
        <v>2131033</v>
      </c>
      <c r="BE9" s="1">
        <v>95436</v>
      </c>
      <c r="BF9" s="1">
        <v>201913</v>
      </c>
      <c r="BG9" s="1">
        <v>325601</v>
      </c>
      <c r="BH9" s="1">
        <v>3150847</v>
      </c>
      <c r="BI9" s="1">
        <v>43340</v>
      </c>
      <c r="BJ9" s="1">
        <v>76317</v>
      </c>
      <c r="BK9" s="1">
        <v>502563</v>
      </c>
      <c r="BL9" s="1">
        <v>534919</v>
      </c>
      <c r="BM9" s="1">
        <v>233653</v>
      </c>
      <c r="BN9" s="1">
        <v>971025</v>
      </c>
      <c r="BO9" s="1">
        <v>789030</v>
      </c>
      <c r="BP9" s="1">
        <v>3510460</v>
      </c>
      <c r="BQ9" s="1">
        <v>5758</v>
      </c>
      <c r="BR9" s="1">
        <v>2096157</v>
      </c>
      <c r="BS9" s="1">
        <v>49620</v>
      </c>
      <c r="BT9" s="1">
        <v>1358925</v>
      </c>
      <c r="BU9" s="1">
        <v>1227279</v>
      </c>
      <c r="BV9" s="1">
        <v>517852</v>
      </c>
      <c r="BW9" s="1">
        <v>370391</v>
      </c>
      <c r="BX9" s="1">
        <v>26362</v>
      </c>
      <c r="BY9" s="1">
        <v>62418</v>
      </c>
      <c r="BZ9" s="1">
        <v>691513</v>
      </c>
      <c r="CA9" s="1">
        <v>23969</v>
      </c>
      <c r="CB9" s="1">
        <v>52253</v>
      </c>
      <c r="CC9" s="2">
        <v>2.39</v>
      </c>
      <c r="CD9" s="1">
        <v>428199</v>
      </c>
      <c r="CE9" s="1">
        <v>726464</v>
      </c>
      <c r="CF9" s="1">
        <v>243675</v>
      </c>
      <c r="CG9" s="1">
        <v>216994</v>
      </c>
      <c r="CH9" s="1">
        <v>89031</v>
      </c>
      <c r="CI9" s="1">
        <v>28006</v>
      </c>
      <c r="CJ9" s="1">
        <v>12762</v>
      </c>
      <c r="CK9" s="2">
        <v>57.04</v>
      </c>
      <c r="CL9" s="1">
        <v>39066</v>
      </c>
      <c r="CM9" s="1">
        <v>157671</v>
      </c>
      <c r="CN9" s="1">
        <v>232726</v>
      </c>
      <c r="CO9" s="1">
        <v>317331</v>
      </c>
      <c r="CP9" s="1">
        <v>413181</v>
      </c>
      <c r="CQ9" s="1">
        <v>342531</v>
      </c>
      <c r="CR9" s="1">
        <v>173372</v>
      </c>
      <c r="CS9" s="1">
        <v>69253</v>
      </c>
      <c r="CT9" s="1">
        <v>49111</v>
      </c>
      <c r="CU9" s="1">
        <v>427682</v>
      </c>
      <c r="CV9" s="1">
        <v>1268339</v>
      </c>
      <c r="CW9" s="1">
        <v>66036</v>
      </c>
      <c r="CX9" s="1">
        <v>106714</v>
      </c>
      <c r="CY9" s="1">
        <v>131003</v>
      </c>
      <c r="CZ9" s="1">
        <v>45553</v>
      </c>
      <c r="DA9" s="1">
        <v>28385</v>
      </c>
      <c r="DB9" s="1">
        <v>34196</v>
      </c>
      <c r="DC9" s="1">
        <v>41182</v>
      </c>
      <c r="DD9" s="1">
        <v>39664</v>
      </c>
      <c r="DE9" s="1">
        <v>40935</v>
      </c>
      <c r="DF9" s="1">
        <v>43903</v>
      </c>
      <c r="DG9" s="1">
        <v>47387</v>
      </c>
      <c r="DH9" s="1">
        <v>46246</v>
      </c>
      <c r="DI9" s="1">
        <v>94388</v>
      </c>
      <c r="DJ9" s="1">
        <v>139668</v>
      </c>
      <c r="DK9" s="1">
        <v>226204</v>
      </c>
      <c r="DL9" s="1">
        <v>166988</v>
      </c>
      <c r="DM9" s="1">
        <v>164590</v>
      </c>
      <c r="DN9" s="1">
        <v>215642</v>
      </c>
      <c r="DO9" s="1">
        <v>370198</v>
      </c>
      <c r="DP9" s="1">
        <v>61953</v>
      </c>
      <c r="DQ9" s="1">
        <v>86938</v>
      </c>
      <c r="DR9" s="1">
        <v>122324</v>
      </c>
      <c r="DS9" s="1">
        <v>141255</v>
      </c>
      <c r="DT9" s="1">
        <v>127683</v>
      </c>
      <c r="DU9" s="1">
        <v>90698</v>
      </c>
      <c r="DV9" s="1">
        <v>69121</v>
      </c>
      <c r="DW9" s="2">
        <v>99325.89</v>
      </c>
      <c r="DX9" s="2">
        <v>46544.6</v>
      </c>
      <c r="DY9" s="2">
        <v>3577.01</v>
      </c>
      <c r="DZ9" s="2">
        <v>768.7</v>
      </c>
      <c r="EA9" s="2">
        <v>3558.69</v>
      </c>
      <c r="EB9" s="2">
        <v>3437.68</v>
      </c>
      <c r="EC9" s="2">
        <v>5812.1</v>
      </c>
      <c r="ED9" s="2">
        <v>14272.98</v>
      </c>
      <c r="EE9" s="2">
        <v>8147.99</v>
      </c>
      <c r="EF9" s="2">
        <v>3592.47</v>
      </c>
      <c r="EG9" s="2">
        <v>20737.43</v>
      </c>
      <c r="EH9" s="2">
        <v>4027.62</v>
      </c>
      <c r="EI9" s="2">
        <v>1903.71</v>
      </c>
      <c r="EJ9" s="2">
        <v>1331.16</v>
      </c>
      <c r="EK9" s="2">
        <v>222.19</v>
      </c>
      <c r="EL9" s="2">
        <v>498.75</v>
      </c>
      <c r="EM9" s="2">
        <v>17865.57</v>
      </c>
      <c r="EN9" s="2">
        <v>6834.97</v>
      </c>
      <c r="EO9" s="2">
        <v>2736.87</v>
      </c>
      <c r="EP9" s="1">
        <v>78870</v>
      </c>
      <c r="EQ9" s="1">
        <v>9251</v>
      </c>
      <c r="ER9" s="1">
        <v>1344</v>
      </c>
      <c r="ES9" s="1">
        <v>23659</v>
      </c>
      <c r="ET9" s="1">
        <v>109610</v>
      </c>
      <c r="EU9" s="1">
        <v>183299</v>
      </c>
      <c r="EV9" s="1">
        <v>239187</v>
      </c>
      <c r="EW9" s="1">
        <v>13303</v>
      </c>
      <c r="EX9" s="1">
        <v>54343</v>
      </c>
      <c r="EY9" s="1">
        <v>9066</v>
      </c>
      <c r="EZ9" s="1">
        <v>719915</v>
      </c>
      <c r="FA9" s="1">
        <v>30719</v>
      </c>
      <c r="FB9" s="1">
        <v>683305</v>
      </c>
      <c r="FC9" s="1">
        <v>108880</v>
      </c>
      <c r="FD9" s="1">
        <v>63056</v>
      </c>
      <c r="FE9" s="1">
        <v>371853</v>
      </c>
      <c r="FF9" s="1">
        <v>10782</v>
      </c>
      <c r="FG9" s="1">
        <v>913264</v>
      </c>
      <c r="FH9" s="1">
        <v>238642</v>
      </c>
      <c r="FI9" s="1">
        <v>18938</v>
      </c>
      <c r="FJ9" s="1">
        <v>2348</v>
      </c>
      <c r="FK9" s="1">
        <v>3310</v>
      </c>
      <c r="FL9" s="1">
        <v>20308</v>
      </c>
      <c r="FM9" s="1">
        <v>2726</v>
      </c>
      <c r="FN9" s="1">
        <v>160254</v>
      </c>
      <c r="FO9" s="1">
        <v>1483043</v>
      </c>
      <c r="FP9" s="1">
        <v>65</v>
      </c>
      <c r="FQ9" s="1">
        <v>39</v>
      </c>
      <c r="FR9" s="1">
        <v>40</v>
      </c>
      <c r="FS9" s="1">
        <v>64</v>
      </c>
      <c r="FT9" s="1">
        <v>33</v>
      </c>
      <c r="FU9" s="1">
        <v>37</v>
      </c>
      <c r="FV9" s="1">
        <v>68</v>
      </c>
      <c r="FW9" s="1">
        <v>62</v>
      </c>
      <c r="FX9" s="1">
        <v>73</v>
      </c>
      <c r="FY9" s="1">
        <v>48</v>
      </c>
      <c r="FZ9" s="3">
        <v>1.3320000000000001</v>
      </c>
      <c r="GA9" s="3">
        <v>0.52300000000000002</v>
      </c>
      <c r="GB9" s="3">
        <v>0.65200000000000002</v>
      </c>
      <c r="GC9" s="3">
        <v>-0.13300000000000001</v>
      </c>
      <c r="GD9" s="3">
        <v>-1.6E-2</v>
      </c>
      <c r="GE9" s="3">
        <v>0.12</v>
      </c>
      <c r="GF9" s="3">
        <v>-0.23499999999999999</v>
      </c>
      <c r="GG9" s="3">
        <v>-0.186</v>
      </c>
      <c r="GH9" s="3">
        <v>0.30399999999999999</v>
      </c>
      <c r="GI9" s="3">
        <v>-1.6E-2</v>
      </c>
      <c r="GJ9" s="3">
        <v>0.14299999999999999</v>
      </c>
      <c r="GK9" s="3">
        <v>0.14000000000000001</v>
      </c>
      <c r="GL9" s="3">
        <v>-7.9000000000000001E-2</v>
      </c>
      <c r="GM9" s="3">
        <v>0.72799999999999998</v>
      </c>
      <c r="GN9" s="3">
        <v>-0.27500000000000002</v>
      </c>
      <c r="GO9" s="3">
        <v>-3.6999999999999998E-2</v>
      </c>
      <c r="GP9" s="3">
        <v>0.26300000000000001</v>
      </c>
      <c r="GQ9" s="3">
        <v>0.15</v>
      </c>
      <c r="GR9" s="3">
        <v>0.18099999999999999</v>
      </c>
      <c r="GS9" s="3">
        <v>-0.152</v>
      </c>
      <c r="GT9" s="3">
        <v>-4.9000000000000002E-2</v>
      </c>
      <c r="GU9" s="3">
        <v>-0.224</v>
      </c>
      <c r="GV9" s="3">
        <v>-8.6999999999999994E-2</v>
      </c>
      <c r="GW9" s="3">
        <v>0.115</v>
      </c>
      <c r="GX9" s="3">
        <v>-8.9999999999999993E-3</v>
      </c>
      <c r="GY9" s="3">
        <v>-8.0000000000000002E-3</v>
      </c>
      <c r="GZ9" s="4">
        <v>115</v>
      </c>
      <c r="HA9" s="4">
        <v>121</v>
      </c>
      <c r="HB9" s="4">
        <v>121</v>
      </c>
      <c r="HC9" s="4">
        <v>119</v>
      </c>
      <c r="HD9" s="4">
        <v>103</v>
      </c>
      <c r="HE9" s="4">
        <v>100</v>
      </c>
      <c r="HF9" s="1">
        <v>7816</v>
      </c>
      <c r="HG9" s="1">
        <v>5370</v>
      </c>
      <c r="HH9" s="1">
        <v>5071</v>
      </c>
      <c r="HI9" s="1">
        <v>4878</v>
      </c>
      <c r="HJ9" s="1">
        <v>4132</v>
      </c>
      <c r="HK9" s="1">
        <v>4989</v>
      </c>
      <c r="HL9" s="1">
        <v>3348</v>
      </c>
      <c r="HM9" s="1">
        <v>8474</v>
      </c>
      <c r="HN9" s="1">
        <v>10668</v>
      </c>
      <c r="HO9" s="1">
        <v>11750</v>
      </c>
      <c r="HP9" s="1">
        <v>15196</v>
      </c>
      <c r="HQ9" s="1">
        <v>18521</v>
      </c>
      <c r="HR9" s="1">
        <v>18538</v>
      </c>
      <c r="HS9" s="1">
        <v>56256</v>
      </c>
      <c r="HT9" s="1">
        <v>55696</v>
      </c>
      <c r="HU9" s="1">
        <v>82058</v>
      </c>
      <c r="HV9" s="1">
        <v>66115</v>
      </c>
      <c r="HW9" s="1">
        <v>138305</v>
      </c>
      <c r="HX9" s="1">
        <v>119498</v>
      </c>
      <c r="HY9" s="1">
        <v>192612</v>
      </c>
      <c r="HZ9" s="1">
        <v>128555</v>
      </c>
      <c r="IA9" s="1">
        <v>178371</v>
      </c>
      <c r="IB9" s="1">
        <v>84674</v>
      </c>
      <c r="IC9" s="1">
        <v>115239</v>
      </c>
      <c r="ID9" s="1">
        <v>316294</v>
      </c>
      <c r="IE9" s="1">
        <v>1567</v>
      </c>
      <c r="IF9" s="1">
        <v>1832</v>
      </c>
      <c r="IG9" s="1">
        <v>1891</v>
      </c>
      <c r="IH9" s="1">
        <v>2469</v>
      </c>
      <c r="II9" s="1">
        <v>2446</v>
      </c>
      <c r="IJ9" s="1">
        <v>3066</v>
      </c>
      <c r="IK9" s="1">
        <v>3303</v>
      </c>
      <c r="IL9" s="1">
        <v>5832</v>
      </c>
      <c r="IM9" s="1">
        <v>6070</v>
      </c>
      <c r="IN9" s="1">
        <v>9824</v>
      </c>
      <c r="IO9" s="1">
        <v>8226</v>
      </c>
      <c r="IP9" s="1">
        <v>11166</v>
      </c>
      <c r="IQ9" s="1">
        <v>11065</v>
      </c>
      <c r="IR9" s="1">
        <v>11588</v>
      </c>
      <c r="IS9" s="1">
        <v>11274</v>
      </c>
      <c r="IT9" s="1">
        <v>23958</v>
      </c>
      <c r="IU9" s="1">
        <v>18492</v>
      </c>
      <c r="IV9" s="1">
        <v>37259</v>
      </c>
      <c r="IW9">
        <v>19055</v>
      </c>
      <c r="IX9">
        <v>22100</v>
      </c>
      <c r="IY9">
        <v>17391</v>
      </c>
      <c r="IZ9">
        <v>18715</v>
      </c>
      <c r="JA9">
        <v>952</v>
      </c>
      <c r="JB9">
        <v>961487</v>
      </c>
      <c r="JC9">
        <v>62563</v>
      </c>
      <c r="JD9">
        <v>6274</v>
      </c>
      <c r="JE9">
        <v>9324</v>
      </c>
      <c r="JF9">
        <v>9875</v>
      </c>
      <c r="JG9">
        <v>8439</v>
      </c>
      <c r="JH9">
        <v>9656</v>
      </c>
      <c r="JI9">
        <v>11104</v>
      </c>
      <c r="JJ9">
        <v>16670</v>
      </c>
      <c r="JK9">
        <v>472</v>
      </c>
      <c r="JL9">
        <v>83066</v>
      </c>
      <c r="JM9">
        <v>17402</v>
      </c>
      <c r="JN9">
        <v>14094</v>
      </c>
      <c r="JO9">
        <v>18740</v>
      </c>
      <c r="JP9">
        <v>20128</v>
      </c>
      <c r="JQ9">
        <v>19284</v>
      </c>
      <c r="JR9">
        <v>15636</v>
      </c>
      <c r="JS9">
        <v>21785</v>
      </c>
      <c r="JT9">
        <v>5121</v>
      </c>
      <c r="JU9">
        <v>253</v>
      </c>
      <c r="JV9">
        <v>80912</v>
      </c>
      <c r="JW9">
        <v>117417</v>
      </c>
      <c r="JX9">
        <v>222089</v>
      </c>
      <c r="JY9">
        <v>220130</v>
      </c>
      <c r="JZ9">
        <v>206160</v>
      </c>
      <c r="KA9">
        <v>147364</v>
      </c>
      <c r="KB9">
        <v>139804</v>
      </c>
      <c r="KC9">
        <v>52305</v>
      </c>
      <c r="KD9">
        <v>125192</v>
      </c>
      <c r="KE9">
        <v>12100</v>
      </c>
      <c r="KF9">
        <v>4016</v>
      </c>
      <c r="KG9">
        <v>77662</v>
      </c>
      <c r="KH9">
        <v>118467</v>
      </c>
      <c r="KI9">
        <v>50975</v>
      </c>
      <c r="KJ9">
        <v>143119</v>
      </c>
      <c r="KK9">
        <v>37544</v>
      </c>
      <c r="KL9">
        <v>10218</v>
      </c>
      <c r="KM9">
        <v>35700</v>
      </c>
      <c r="KN9">
        <v>99369</v>
      </c>
      <c r="KO9">
        <v>55495</v>
      </c>
      <c r="KP9">
        <v>188690</v>
      </c>
      <c r="KQ9">
        <v>1795</v>
      </c>
      <c r="KR9">
        <v>48124</v>
      </c>
      <c r="KS9">
        <v>146972</v>
      </c>
      <c r="KT9">
        <v>217628</v>
      </c>
      <c r="KU9">
        <v>42134</v>
      </c>
      <c r="KV9">
        <v>71575</v>
      </c>
      <c r="KW9">
        <v>61961</v>
      </c>
      <c r="KX9">
        <v>58538</v>
      </c>
      <c r="KY9">
        <v>848736</v>
      </c>
      <c r="KZ9">
        <v>172655</v>
      </c>
      <c r="LA9">
        <v>128779</v>
      </c>
      <c r="LB9">
        <v>96510</v>
      </c>
      <c r="LC9">
        <v>56759</v>
      </c>
      <c r="LD9">
        <v>31031</v>
      </c>
      <c r="LE9">
        <v>144661</v>
      </c>
      <c r="LF9">
        <v>2951</v>
      </c>
      <c r="LG9">
        <v>1109981</v>
      </c>
      <c r="LH9">
        <v>9276</v>
      </c>
      <c r="LI9">
        <v>74963</v>
      </c>
      <c r="LJ9">
        <v>5864</v>
      </c>
      <c r="LK9">
        <v>70710</v>
      </c>
      <c r="LL9">
        <v>5155</v>
      </c>
      <c r="LM9">
        <v>25037</v>
      </c>
      <c r="LN9">
        <v>840</v>
      </c>
      <c r="LO9">
        <v>9547</v>
      </c>
      <c r="LP9">
        <v>12224.57812</v>
      </c>
      <c r="LQ9">
        <v>275.92223999999999</v>
      </c>
    </row>
    <row r="10" spans="1:329" x14ac:dyDescent="0.25">
      <c r="A10" s="5" t="s">
        <v>332</v>
      </c>
      <c r="B10" s="5" t="s">
        <v>266</v>
      </c>
      <c r="C10" s="1">
        <v>4513860</v>
      </c>
      <c r="D10" s="1">
        <v>5305599</v>
      </c>
      <c r="E10" s="1">
        <v>5816327</v>
      </c>
      <c r="F10" s="1">
        <v>6074423</v>
      </c>
      <c r="G10" s="1">
        <v>6221821</v>
      </c>
      <c r="H10" s="1">
        <v>1521241</v>
      </c>
      <c r="I10" s="1">
        <v>1840931</v>
      </c>
      <c r="J10" s="1">
        <v>2063460</v>
      </c>
      <c r="K10" s="1">
        <v>2228712</v>
      </c>
      <c r="L10" s="1">
        <v>2295820</v>
      </c>
      <c r="M10" s="1">
        <v>2298805</v>
      </c>
      <c r="N10" s="1">
        <v>1929023</v>
      </c>
      <c r="O10" s="1">
        <v>299689</v>
      </c>
      <c r="P10" s="1">
        <v>70093</v>
      </c>
      <c r="Q10" s="1">
        <v>107016</v>
      </c>
      <c r="R10" s="1">
        <v>26415</v>
      </c>
      <c r="S10" s="1">
        <v>151</v>
      </c>
      <c r="T10" s="1">
        <v>5356518</v>
      </c>
      <c r="U10" s="1">
        <v>658156</v>
      </c>
      <c r="V10" s="1">
        <v>59749</v>
      </c>
      <c r="W10" s="1">
        <v>3156</v>
      </c>
      <c r="X10" s="1">
        <v>133</v>
      </c>
      <c r="Y10" s="2">
        <v>41.13</v>
      </c>
      <c r="Z10" s="1">
        <v>318401</v>
      </c>
      <c r="AA10" s="1">
        <v>365335</v>
      </c>
      <c r="AB10" s="1">
        <v>411893</v>
      </c>
      <c r="AC10" s="1">
        <v>394297</v>
      </c>
      <c r="AD10" s="1">
        <v>321831</v>
      </c>
      <c r="AE10" s="1">
        <v>321546</v>
      </c>
      <c r="AF10" s="1">
        <v>347427</v>
      </c>
      <c r="AG10" s="1">
        <v>391697</v>
      </c>
      <c r="AH10" s="1">
        <v>387273</v>
      </c>
      <c r="AI10" s="1">
        <v>438554</v>
      </c>
      <c r="AJ10" s="1">
        <v>464277</v>
      </c>
      <c r="AK10" s="1">
        <v>493663</v>
      </c>
      <c r="AL10" s="1">
        <v>438726</v>
      </c>
      <c r="AM10" s="1">
        <v>347234</v>
      </c>
      <c r="AN10" s="1">
        <v>260808</v>
      </c>
      <c r="AO10" s="1">
        <v>166824</v>
      </c>
      <c r="AP10" s="1">
        <v>101102</v>
      </c>
      <c r="AQ10" s="1">
        <v>103535</v>
      </c>
      <c r="AR10" s="1">
        <v>3011897</v>
      </c>
      <c r="AS10" s="1">
        <v>3062526</v>
      </c>
      <c r="AT10" s="1">
        <v>4872424</v>
      </c>
      <c r="AU10" s="1">
        <v>361933</v>
      </c>
      <c r="AV10" s="1">
        <v>16030</v>
      </c>
      <c r="AW10" s="1">
        <v>258612</v>
      </c>
      <c r="AX10" s="1">
        <v>3796</v>
      </c>
      <c r="AY10" s="1">
        <v>5433</v>
      </c>
      <c r="AZ10" s="1">
        <v>112205</v>
      </c>
      <c r="BA10" s="1">
        <v>444372</v>
      </c>
      <c r="BB10" s="1">
        <v>4978794</v>
      </c>
      <c r="BC10" s="1">
        <v>1339583</v>
      </c>
      <c r="BD10" s="1">
        <v>2803402</v>
      </c>
      <c r="BE10" s="1">
        <v>143014</v>
      </c>
      <c r="BF10" s="1">
        <v>252809</v>
      </c>
      <c r="BG10" s="1">
        <v>439986</v>
      </c>
      <c r="BH10" s="1">
        <v>4262666</v>
      </c>
      <c r="BI10" s="1">
        <v>89864</v>
      </c>
      <c r="BJ10" s="1">
        <v>162037</v>
      </c>
      <c r="BK10" s="1">
        <v>1088403</v>
      </c>
      <c r="BL10" s="1">
        <v>839847</v>
      </c>
      <c r="BM10" s="1">
        <v>406925</v>
      </c>
      <c r="BN10" s="1">
        <v>1039265</v>
      </c>
      <c r="BO10" s="1">
        <v>636325</v>
      </c>
      <c r="BP10" s="1">
        <v>4897007</v>
      </c>
      <c r="BQ10" s="1">
        <v>12354</v>
      </c>
      <c r="BR10" s="1">
        <v>3253614</v>
      </c>
      <c r="BS10" s="1">
        <v>92605</v>
      </c>
      <c r="BT10" s="1">
        <v>1538434</v>
      </c>
      <c r="BU10" s="1">
        <v>1699499</v>
      </c>
      <c r="BV10" s="1">
        <v>529213</v>
      </c>
      <c r="BW10" s="1">
        <v>598439</v>
      </c>
      <c r="BX10" s="1">
        <v>46655</v>
      </c>
      <c r="BY10" s="1">
        <v>111703</v>
      </c>
      <c r="BZ10" s="1">
        <v>814580</v>
      </c>
      <c r="CA10" s="1">
        <v>40945</v>
      </c>
      <c r="CB10" s="1">
        <v>86803</v>
      </c>
      <c r="CC10" s="2">
        <v>2.7</v>
      </c>
      <c r="CD10" s="1">
        <v>426568</v>
      </c>
      <c r="CE10" s="1">
        <v>791509</v>
      </c>
      <c r="CF10" s="1">
        <v>390696</v>
      </c>
      <c r="CG10" s="1">
        <v>374832</v>
      </c>
      <c r="CH10" s="1">
        <v>160586</v>
      </c>
      <c r="CI10" s="1">
        <v>54837</v>
      </c>
      <c r="CJ10" s="1">
        <v>29683</v>
      </c>
      <c r="CK10" s="2">
        <v>53.32</v>
      </c>
      <c r="CL10" s="1">
        <v>54757</v>
      </c>
      <c r="CM10" s="1">
        <v>256991</v>
      </c>
      <c r="CN10" s="1">
        <v>370754</v>
      </c>
      <c r="CO10" s="1">
        <v>463431</v>
      </c>
      <c r="CP10" s="1">
        <v>505320</v>
      </c>
      <c r="CQ10" s="1">
        <v>350732</v>
      </c>
      <c r="CR10" s="1">
        <v>164191</v>
      </c>
      <c r="CS10" s="1">
        <v>62537</v>
      </c>
      <c r="CT10" s="1">
        <v>60016</v>
      </c>
      <c r="CU10" s="1">
        <v>473975</v>
      </c>
      <c r="CV10" s="1">
        <v>1694721</v>
      </c>
      <c r="CW10" s="1">
        <v>44286</v>
      </c>
      <c r="CX10" s="1">
        <v>98954</v>
      </c>
      <c r="CY10" s="1">
        <v>115287</v>
      </c>
      <c r="CZ10" s="1">
        <v>48383</v>
      </c>
      <c r="DA10" s="1">
        <v>33205</v>
      </c>
      <c r="DB10" s="1">
        <v>41736</v>
      </c>
      <c r="DC10" s="1">
        <v>50573</v>
      </c>
      <c r="DD10" s="1">
        <v>48179</v>
      </c>
      <c r="DE10" s="1">
        <v>51544</v>
      </c>
      <c r="DF10" s="1">
        <v>55302</v>
      </c>
      <c r="DG10" s="1">
        <v>60475</v>
      </c>
      <c r="DH10" s="1">
        <v>60869</v>
      </c>
      <c r="DI10" s="1">
        <v>126197</v>
      </c>
      <c r="DJ10" s="1">
        <v>200565</v>
      </c>
      <c r="DK10" s="1">
        <v>352046</v>
      </c>
      <c r="DL10" s="1">
        <v>264408</v>
      </c>
      <c r="DM10" s="1">
        <v>255170</v>
      </c>
      <c r="DN10" s="1">
        <v>315404</v>
      </c>
      <c r="DO10" s="1">
        <v>264657</v>
      </c>
      <c r="DP10" s="1">
        <v>63651</v>
      </c>
      <c r="DQ10" s="1">
        <v>86462</v>
      </c>
      <c r="DR10" s="1">
        <v>111113</v>
      </c>
      <c r="DS10" s="1">
        <v>124074</v>
      </c>
      <c r="DT10" s="1">
        <v>108629</v>
      </c>
      <c r="DU10" s="1">
        <v>87620</v>
      </c>
      <c r="DV10" s="1">
        <v>68034</v>
      </c>
      <c r="DW10" s="2">
        <v>80716.259999999995</v>
      </c>
      <c r="DX10" s="2">
        <v>38145.1</v>
      </c>
      <c r="DY10" s="2">
        <v>2749.48</v>
      </c>
      <c r="DZ10" s="2">
        <v>607.64</v>
      </c>
      <c r="EA10" s="2">
        <v>2882.87</v>
      </c>
      <c r="EB10" s="2">
        <v>2603.81</v>
      </c>
      <c r="EC10" s="2">
        <v>4689.13</v>
      </c>
      <c r="ED10" s="2">
        <v>11757.24</v>
      </c>
      <c r="EE10" s="2">
        <v>6714.52</v>
      </c>
      <c r="EF10" s="2">
        <v>2908.51</v>
      </c>
      <c r="EG10" s="2">
        <v>16816.72</v>
      </c>
      <c r="EH10" s="2">
        <v>3218.31</v>
      </c>
      <c r="EI10" s="2">
        <v>1537.87</v>
      </c>
      <c r="EJ10" s="2">
        <v>1086.25</v>
      </c>
      <c r="EK10" s="2">
        <v>177.33</v>
      </c>
      <c r="EL10" s="2">
        <v>431.51</v>
      </c>
      <c r="EM10" s="2">
        <v>14768.81</v>
      </c>
      <c r="EN10" s="2">
        <v>5711.01</v>
      </c>
      <c r="EO10" s="2">
        <v>2055.25</v>
      </c>
      <c r="EP10" s="1">
        <v>73253</v>
      </c>
      <c r="EQ10" s="1">
        <v>8422</v>
      </c>
      <c r="ER10" s="1">
        <v>1813</v>
      </c>
      <c r="ES10" s="1">
        <v>18803</v>
      </c>
      <c r="ET10" s="1">
        <v>89505</v>
      </c>
      <c r="EU10" s="1">
        <v>148121</v>
      </c>
      <c r="EV10" s="1">
        <v>227513</v>
      </c>
      <c r="EW10" s="1">
        <v>12201</v>
      </c>
      <c r="EX10" s="1">
        <v>42377</v>
      </c>
      <c r="EY10" s="1">
        <v>5346</v>
      </c>
      <c r="EZ10" s="1">
        <v>624823</v>
      </c>
      <c r="FA10" s="1">
        <v>27163</v>
      </c>
      <c r="FB10" s="1">
        <v>409210</v>
      </c>
      <c r="FC10" s="1">
        <v>88468</v>
      </c>
      <c r="FD10" s="1">
        <v>32605</v>
      </c>
      <c r="FE10" s="1">
        <v>228354</v>
      </c>
      <c r="FF10" s="1">
        <v>7858</v>
      </c>
      <c r="FG10" s="1">
        <v>694670</v>
      </c>
      <c r="FH10" s="1">
        <v>147401</v>
      </c>
      <c r="FI10" s="1">
        <v>17741</v>
      </c>
      <c r="FJ10" s="1">
        <v>1558</v>
      </c>
      <c r="FK10" s="1">
        <v>3357</v>
      </c>
      <c r="FL10" s="1">
        <v>16259</v>
      </c>
      <c r="FM10" s="1">
        <v>2184</v>
      </c>
      <c r="FN10" s="1">
        <v>146772</v>
      </c>
      <c r="FO10" s="1">
        <v>1173400</v>
      </c>
      <c r="FP10" s="1">
        <v>49</v>
      </c>
      <c r="FQ10" s="1">
        <v>33</v>
      </c>
      <c r="FR10" s="1">
        <v>25</v>
      </c>
      <c r="FS10" s="1">
        <v>64</v>
      </c>
      <c r="FT10" s="1">
        <v>23</v>
      </c>
      <c r="FU10" s="1">
        <v>33</v>
      </c>
      <c r="FV10" s="1">
        <v>52</v>
      </c>
      <c r="FW10" s="1">
        <v>45</v>
      </c>
      <c r="FX10" s="1">
        <v>56</v>
      </c>
      <c r="FY10" s="1">
        <v>35</v>
      </c>
      <c r="FZ10" s="3">
        <v>0.26200000000000001</v>
      </c>
      <c r="GA10" s="3">
        <v>0.94199999999999995</v>
      </c>
      <c r="GB10" s="3">
        <v>2.3E-2</v>
      </c>
      <c r="GC10" s="3">
        <v>-0.40100000000000002</v>
      </c>
      <c r="GD10" s="3">
        <v>1.31</v>
      </c>
      <c r="GE10" s="3">
        <v>0.214</v>
      </c>
      <c r="GF10" s="3">
        <v>-0.26600000000000001</v>
      </c>
      <c r="GG10" s="3">
        <v>0.151</v>
      </c>
      <c r="GH10" s="3">
        <v>0.22900000000000001</v>
      </c>
      <c r="GI10" s="3">
        <v>-8.5999999999999993E-2</v>
      </c>
      <c r="GJ10" s="3">
        <v>0.85</v>
      </c>
      <c r="GK10" s="3">
        <v>-0.29399999999999998</v>
      </c>
      <c r="GL10" s="3">
        <v>-0.19</v>
      </c>
      <c r="GM10" s="3">
        <v>-0.2</v>
      </c>
      <c r="GN10" s="3">
        <v>0.17100000000000001</v>
      </c>
      <c r="GO10" s="3">
        <v>9.7000000000000003E-2</v>
      </c>
      <c r="GP10" s="3">
        <v>0.39200000000000002</v>
      </c>
      <c r="GQ10" s="3">
        <v>5.0000000000000001E-3</v>
      </c>
      <c r="GR10" s="3">
        <v>-5.1999999999999998E-2</v>
      </c>
      <c r="GS10" s="3">
        <v>-7.1999999999999995E-2</v>
      </c>
      <c r="GT10" s="3">
        <v>-2.8000000000000001E-2</v>
      </c>
      <c r="GU10" s="3">
        <v>-0.20200000000000001</v>
      </c>
      <c r="GV10" s="3">
        <v>-0.19400000000000001</v>
      </c>
      <c r="GW10" s="3">
        <v>4.2999999999999997E-2</v>
      </c>
      <c r="GX10" s="3">
        <v>-4.3999999999999997E-2</v>
      </c>
      <c r="GY10" s="3">
        <v>2E-3</v>
      </c>
      <c r="GZ10" s="4">
        <v>114</v>
      </c>
      <c r="HA10" s="4">
        <v>116</v>
      </c>
      <c r="HB10" s="4">
        <v>115</v>
      </c>
      <c r="HC10" s="4">
        <v>143</v>
      </c>
      <c r="HD10" s="4">
        <v>90</v>
      </c>
      <c r="HE10" s="4">
        <v>93</v>
      </c>
      <c r="HF10" s="1">
        <v>5809</v>
      </c>
      <c r="HG10" s="1">
        <v>4149</v>
      </c>
      <c r="HH10" s="1">
        <v>4669</v>
      </c>
      <c r="HI10" s="1">
        <v>5329</v>
      </c>
      <c r="HJ10" s="1">
        <v>4806</v>
      </c>
      <c r="HK10" s="1">
        <v>5135</v>
      </c>
      <c r="HL10" s="1">
        <v>3014</v>
      </c>
      <c r="HM10" s="1">
        <v>6599</v>
      </c>
      <c r="HN10" s="1">
        <v>7662</v>
      </c>
      <c r="HO10" s="1">
        <v>7606</v>
      </c>
      <c r="HP10" s="1">
        <v>9808</v>
      </c>
      <c r="HQ10" s="1">
        <v>11595</v>
      </c>
      <c r="HR10" s="1">
        <v>12357</v>
      </c>
      <c r="HS10" s="1">
        <v>41519</v>
      </c>
      <c r="HT10" s="1">
        <v>48676</v>
      </c>
      <c r="HU10" s="1">
        <v>86303</v>
      </c>
      <c r="HV10" s="1">
        <v>88828</v>
      </c>
      <c r="HW10" s="1">
        <v>255993</v>
      </c>
      <c r="HX10" s="1">
        <v>281638</v>
      </c>
      <c r="HY10" s="1">
        <v>486556</v>
      </c>
      <c r="HZ10" s="1">
        <v>209626</v>
      </c>
      <c r="IA10" s="1">
        <v>146728</v>
      </c>
      <c r="IB10" s="1">
        <v>32352</v>
      </c>
      <c r="IC10" s="1">
        <v>23815</v>
      </c>
      <c r="ID10" s="1">
        <v>300778</v>
      </c>
      <c r="IE10" s="1">
        <v>2346</v>
      </c>
      <c r="IF10" s="1">
        <v>2619</v>
      </c>
      <c r="IG10" s="1">
        <v>2935</v>
      </c>
      <c r="IH10" s="1">
        <v>4258</v>
      </c>
      <c r="II10" s="1">
        <v>3721</v>
      </c>
      <c r="IJ10" s="1">
        <v>4486</v>
      </c>
      <c r="IK10" s="1">
        <v>3891</v>
      </c>
      <c r="IL10" s="1">
        <v>6298</v>
      </c>
      <c r="IM10" s="1">
        <v>5161</v>
      </c>
      <c r="IN10" s="1">
        <v>9703</v>
      </c>
      <c r="IO10" s="1">
        <v>6936</v>
      </c>
      <c r="IP10" s="1">
        <v>11393</v>
      </c>
      <c r="IQ10" s="1">
        <v>11443</v>
      </c>
      <c r="IR10" s="1">
        <v>13773</v>
      </c>
      <c r="IS10" s="1">
        <v>14360</v>
      </c>
      <c r="IT10" s="1">
        <v>31707</v>
      </c>
      <c r="IU10" s="1">
        <v>24804</v>
      </c>
      <c r="IV10" s="1">
        <v>40942</v>
      </c>
      <c r="IW10">
        <v>23746</v>
      </c>
      <c r="IX10">
        <v>21169</v>
      </c>
      <c r="IY10">
        <v>5554</v>
      </c>
      <c r="IZ10">
        <v>24928</v>
      </c>
      <c r="JA10">
        <v>866</v>
      </c>
      <c r="JB10">
        <v>1754902</v>
      </c>
      <c r="JC10">
        <v>103627</v>
      </c>
      <c r="JD10">
        <v>19670</v>
      </c>
      <c r="JE10">
        <v>10923</v>
      </c>
      <c r="JF10">
        <v>10528</v>
      </c>
      <c r="JG10">
        <v>7727</v>
      </c>
      <c r="JH10">
        <v>4942</v>
      </c>
      <c r="JI10">
        <v>5934</v>
      </c>
      <c r="JJ10">
        <v>24547</v>
      </c>
      <c r="JK10">
        <v>440</v>
      </c>
      <c r="JL10">
        <v>114207</v>
      </c>
      <c r="JM10">
        <v>22384</v>
      </c>
      <c r="JN10">
        <v>30684</v>
      </c>
      <c r="JO10">
        <v>29073</v>
      </c>
      <c r="JP10">
        <v>26203</v>
      </c>
      <c r="JQ10">
        <v>23954</v>
      </c>
      <c r="JR10">
        <v>18353</v>
      </c>
      <c r="JS10">
        <v>20984</v>
      </c>
      <c r="JT10">
        <v>7431</v>
      </c>
      <c r="JU10">
        <v>135</v>
      </c>
      <c r="JV10">
        <v>101958</v>
      </c>
      <c r="JW10">
        <v>148784</v>
      </c>
      <c r="JX10">
        <v>311777</v>
      </c>
      <c r="JY10">
        <v>361071</v>
      </c>
      <c r="JZ10">
        <v>385684</v>
      </c>
      <c r="KA10">
        <v>299868</v>
      </c>
      <c r="KB10">
        <v>261580</v>
      </c>
      <c r="KC10">
        <v>101186</v>
      </c>
      <c r="KD10">
        <v>264740</v>
      </c>
      <c r="KE10">
        <v>18987</v>
      </c>
      <c r="KF10">
        <v>4154</v>
      </c>
      <c r="KG10">
        <v>227597</v>
      </c>
      <c r="KH10">
        <v>321867</v>
      </c>
      <c r="KI10">
        <v>99226</v>
      </c>
      <c r="KJ10">
        <v>364482</v>
      </c>
      <c r="KK10">
        <v>123001</v>
      </c>
      <c r="KL10">
        <v>35663</v>
      </c>
      <c r="KM10">
        <v>75906</v>
      </c>
      <c r="KN10">
        <v>180153</v>
      </c>
      <c r="KO10">
        <v>56514</v>
      </c>
      <c r="KP10">
        <v>239457</v>
      </c>
      <c r="KQ10">
        <v>3286</v>
      </c>
      <c r="KR10">
        <v>111094</v>
      </c>
      <c r="KS10">
        <v>337580</v>
      </c>
      <c r="KT10">
        <v>437352</v>
      </c>
      <c r="KU10">
        <v>65537</v>
      </c>
      <c r="KV10">
        <v>163097</v>
      </c>
      <c r="KW10">
        <v>144541</v>
      </c>
      <c r="KX10">
        <v>210978</v>
      </c>
      <c r="KY10">
        <v>2070133</v>
      </c>
      <c r="KZ10">
        <v>132009</v>
      </c>
      <c r="LA10">
        <v>270377</v>
      </c>
      <c r="LB10">
        <v>305956</v>
      </c>
      <c r="LC10">
        <v>134221</v>
      </c>
      <c r="LD10">
        <v>125184</v>
      </c>
      <c r="LE10">
        <v>179262</v>
      </c>
      <c r="LF10">
        <v>3330</v>
      </c>
      <c r="LG10">
        <v>1912849</v>
      </c>
      <c r="LH10">
        <v>12904</v>
      </c>
      <c r="LI10">
        <v>97136</v>
      </c>
      <c r="LJ10">
        <v>17069</v>
      </c>
      <c r="LK10">
        <v>133135</v>
      </c>
      <c r="LL10">
        <v>9213</v>
      </c>
      <c r="LM10">
        <v>40126</v>
      </c>
      <c r="LN10">
        <v>1221</v>
      </c>
      <c r="LO10">
        <v>12995</v>
      </c>
      <c r="LP10">
        <v>14660.679690000001</v>
      </c>
      <c r="LQ10">
        <v>434.40141</v>
      </c>
    </row>
    <row r="11" spans="1:329" x14ac:dyDescent="0.25">
      <c r="A11" s="5" t="s">
        <v>333</v>
      </c>
      <c r="B11" s="5" t="s">
        <v>267</v>
      </c>
      <c r="C11" s="1">
        <v>3972728</v>
      </c>
      <c r="D11" s="1">
        <v>4243990</v>
      </c>
      <c r="E11" s="1">
        <v>4384921</v>
      </c>
      <c r="F11" s="1">
        <v>4658644</v>
      </c>
      <c r="G11" s="1">
        <v>4752764</v>
      </c>
      <c r="H11" s="1">
        <v>1623979</v>
      </c>
      <c r="I11" s="1">
        <v>1758283</v>
      </c>
      <c r="J11" s="1">
        <v>1805570</v>
      </c>
      <c r="K11" s="1">
        <v>1945839</v>
      </c>
      <c r="L11" s="1">
        <v>2017197</v>
      </c>
      <c r="M11" s="1">
        <v>2021062</v>
      </c>
      <c r="N11" s="1">
        <v>1096700</v>
      </c>
      <c r="O11" s="1">
        <v>849139</v>
      </c>
      <c r="P11" s="1">
        <v>75223</v>
      </c>
      <c r="Q11" s="1">
        <v>136287</v>
      </c>
      <c r="R11" s="1">
        <v>29390</v>
      </c>
      <c r="S11" s="1">
        <v>171</v>
      </c>
      <c r="T11" s="1">
        <v>3541133</v>
      </c>
      <c r="U11" s="1">
        <v>1056333</v>
      </c>
      <c r="V11" s="1">
        <v>61178</v>
      </c>
      <c r="W11" s="1">
        <v>7498</v>
      </c>
      <c r="X11" s="1">
        <v>651</v>
      </c>
      <c r="Y11" s="2">
        <v>39.82</v>
      </c>
      <c r="Z11" s="1">
        <v>254355</v>
      </c>
      <c r="AA11" s="1">
        <v>250407</v>
      </c>
      <c r="AB11" s="1">
        <v>248401</v>
      </c>
      <c r="AC11" s="1">
        <v>228818</v>
      </c>
      <c r="AD11" s="1">
        <v>248974</v>
      </c>
      <c r="AE11" s="1">
        <v>343048</v>
      </c>
      <c r="AF11" s="1">
        <v>355534</v>
      </c>
      <c r="AG11" s="1">
        <v>348537</v>
      </c>
      <c r="AH11" s="1">
        <v>311956</v>
      </c>
      <c r="AI11" s="1">
        <v>317616</v>
      </c>
      <c r="AJ11" s="1">
        <v>314439</v>
      </c>
      <c r="AK11" s="1">
        <v>335614</v>
      </c>
      <c r="AL11" s="1">
        <v>310911</v>
      </c>
      <c r="AM11" s="1">
        <v>252767</v>
      </c>
      <c r="AN11" s="1">
        <v>194552</v>
      </c>
      <c r="AO11" s="1">
        <v>133484</v>
      </c>
      <c r="AP11" s="1">
        <v>92875</v>
      </c>
      <c r="AQ11" s="1">
        <v>116358</v>
      </c>
      <c r="AR11" s="1">
        <v>2273398</v>
      </c>
      <c r="AS11" s="1">
        <v>2385245</v>
      </c>
      <c r="AT11" s="1">
        <v>2887315</v>
      </c>
      <c r="AU11" s="1">
        <v>265594</v>
      </c>
      <c r="AV11" s="1">
        <v>10428</v>
      </c>
      <c r="AW11" s="1">
        <v>597325</v>
      </c>
      <c r="AX11" s="1">
        <v>8120</v>
      </c>
      <c r="AY11" s="1">
        <v>8811</v>
      </c>
      <c r="AZ11" s="1">
        <v>140295</v>
      </c>
      <c r="BA11" s="1">
        <v>741111</v>
      </c>
      <c r="BB11" s="1">
        <v>3905483</v>
      </c>
      <c r="BC11" s="1">
        <v>1287218</v>
      </c>
      <c r="BD11" s="1">
        <v>1862698</v>
      </c>
      <c r="BE11" s="1">
        <v>158917</v>
      </c>
      <c r="BF11" s="1">
        <v>198429</v>
      </c>
      <c r="BG11" s="1">
        <v>398221</v>
      </c>
      <c r="BH11" s="1">
        <v>3427690</v>
      </c>
      <c r="BI11" s="1">
        <v>105742</v>
      </c>
      <c r="BJ11" s="1">
        <v>109303</v>
      </c>
      <c r="BK11" s="1">
        <v>501172</v>
      </c>
      <c r="BL11" s="1">
        <v>564800</v>
      </c>
      <c r="BM11" s="1">
        <v>236136</v>
      </c>
      <c r="BN11" s="1">
        <v>1063736</v>
      </c>
      <c r="BO11" s="1">
        <v>846801</v>
      </c>
      <c r="BP11" s="1">
        <v>3859706</v>
      </c>
      <c r="BQ11" s="1">
        <v>9175</v>
      </c>
      <c r="BR11" s="1">
        <v>2569163</v>
      </c>
      <c r="BS11" s="1">
        <v>72222</v>
      </c>
      <c r="BT11" s="1">
        <v>1209146</v>
      </c>
      <c r="BU11" s="1">
        <v>1144925</v>
      </c>
      <c r="BV11" s="1">
        <v>800914</v>
      </c>
      <c r="BW11" s="1">
        <v>376485</v>
      </c>
      <c r="BX11" s="1">
        <v>36022</v>
      </c>
      <c r="BY11" s="1">
        <v>99904</v>
      </c>
      <c r="BZ11" s="1">
        <v>506045</v>
      </c>
      <c r="CA11" s="1">
        <v>39187</v>
      </c>
      <c r="CB11" s="1">
        <v>86988</v>
      </c>
      <c r="CC11" s="2">
        <v>2.36</v>
      </c>
      <c r="CD11" s="1">
        <v>608248</v>
      </c>
      <c r="CE11" s="1">
        <v>644742</v>
      </c>
      <c r="CF11" s="1">
        <v>300062</v>
      </c>
      <c r="CG11" s="1">
        <v>246517</v>
      </c>
      <c r="CH11" s="1">
        <v>93981</v>
      </c>
      <c r="CI11" s="1">
        <v>32022</v>
      </c>
      <c r="CJ11" s="1">
        <v>20266</v>
      </c>
      <c r="CK11" s="2">
        <v>51.88</v>
      </c>
      <c r="CL11" s="1">
        <v>48903</v>
      </c>
      <c r="CM11" s="1">
        <v>292652</v>
      </c>
      <c r="CN11" s="1">
        <v>347789</v>
      </c>
      <c r="CO11" s="1">
        <v>360051</v>
      </c>
      <c r="CP11" s="1">
        <v>387276</v>
      </c>
      <c r="CQ11" s="1">
        <v>281759</v>
      </c>
      <c r="CR11" s="1">
        <v>149859</v>
      </c>
      <c r="CS11" s="1">
        <v>77551</v>
      </c>
      <c r="CT11" s="1">
        <v>133484</v>
      </c>
      <c r="CU11" s="1">
        <v>690023</v>
      </c>
      <c r="CV11" s="1">
        <v>1122332</v>
      </c>
      <c r="CW11" s="1">
        <v>58958</v>
      </c>
      <c r="CX11" s="1">
        <v>98497</v>
      </c>
      <c r="CY11" s="1">
        <v>129879</v>
      </c>
      <c r="CZ11" s="1">
        <v>67711</v>
      </c>
      <c r="DA11" s="1">
        <v>45767</v>
      </c>
      <c r="DB11" s="1">
        <v>50216</v>
      </c>
      <c r="DC11" s="1">
        <v>55322</v>
      </c>
      <c r="DD11" s="1">
        <v>48527</v>
      </c>
      <c r="DE11" s="1">
        <v>48776</v>
      </c>
      <c r="DF11" s="1">
        <v>49500</v>
      </c>
      <c r="DG11" s="1">
        <v>53245</v>
      </c>
      <c r="DH11" s="1">
        <v>52494</v>
      </c>
      <c r="DI11" s="1">
        <v>105856</v>
      </c>
      <c r="DJ11" s="1">
        <v>158783</v>
      </c>
      <c r="DK11" s="1">
        <v>251851</v>
      </c>
      <c r="DL11" s="1">
        <v>180001</v>
      </c>
      <c r="DM11" s="1">
        <v>173713</v>
      </c>
      <c r="DN11" s="1">
        <v>240920</v>
      </c>
      <c r="DO11" s="1">
        <v>363160</v>
      </c>
      <c r="DP11" s="1">
        <v>52432</v>
      </c>
      <c r="DQ11" s="1">
        <v>88214</v>
      </c>
      <c r="DR11" s="1">
        <v>115650</v>
      </c>
      <c r="DS11" s="1">
        <v>123074</v>
      </c>
      <c r="DT11" s="1">
        <v>113965</v>
      </c>
      <c r="DU11" s="1">
        <v>86732</v>
      </c>
      <c r="DV11" s="1">
        <v>68519</v>
      </c>
      <c r="DW11" s="2">
        <v>90130.16</v>
      </c>
      <c r="DX11" s="2">
        <v>42166.99</v>
      </c>
      <c r="DY11" s="2">
        <v>3162.66</v>
      </c>
      <c r="DZ11" s="2">
        <v>676.98</v>
      </c>
      <c r="EA11" s="2">
        <v>3247.98</v>
      </c>
      <c r="EB11" s="2">
        <v>3102.19</v>
      </c>
      <c r="EC11" s="2">
        <v>5223.78</v>
      </c>
      <c r="ED11" s="2">
        <v>13036.18</v>
      </c>
      <c r="EE11" s="2">
        <v>7318.62</v>
      </c>
      <c r="EF11" s="2">
        <v>3230.22</v>
      </c>
      <c r="EG11" s="2">
        <v>19036.89</v>
      </c>
      <c r="EH11" s="2">
        <v>3622.49</v>
      </c>
      <c r="EI11" s="2">
        <v>1720.47</v>
      </c>
      <c r="EJ11" s="2">
        <v>1209.48</v>
      </c>
      <c r="EK11" s="2">
        <v>199.25</v>
      </c>
      <c r="EL11" s="2">
        <v>472.07</v>
      </c>
      <c r="EM11" s="2">
        <v>16184.73</v>
      </c>
      <c r="EN11" s="2">
        <v>6246.04</v>
      </c>
      <c r="EO11" s="2">
        <v>2440.13</v>
      </c>
      <c r="EP11" s="1">
        <v>79046</v>
      </c>
      <c r="EQ11" s="1">
        <v>10186</v>
      </c>
      <c r="ER11" s="1">
        <v>1240</v>
      </c>
      <c r="ES11" s="1">
        <v>26165</v>
      </c>
      <c r="ET11" s="1">
        <v>112767</v>
      </c>
      <c r="EU11" s="1">
        <v>169249</v>
      </c>
      <c r="EV11" s="1">
        <v>231251</v>
      </c>
      <c r="EW11" s="1">
        <v>11031</v>
      </c>
      <c r="EX11" s="1">
        <v>57020</v>
      </c>
      <c r="EY11" s="1">
        <v>10255</v>
      </c>
      <c r="EZ11" s="1">
        <v>706011</v>
      </c>
      <c r="FA11" s="1">
        <v>29879</v>
      </c>
      <c r="FB11" s="1">
        <v>718274</v>
      </c>
      <c r="FC11" s="1">
        <v>123259</v>
      </c>
      <c r="FD11" s="1">
        <v>63587</v>
      </c>
      <c r="FE11" s="1">
        <v>374074</v>
      </c>
      <c r="FF11" s="1">
        <v>10574</v>
      </c>
      <c r="FG11" s="1">
        <v>980811</v>
      </c>
      <c r="FH11" s="1">
        <v>295125</v>
      </c>
      <c r="FI11" s="1">
        <v>18158</v>
      </c>
      <c r="FJ11" s="1">
        <v>1803</v>
      </c>
      <c r="FK11" s="1">
        <v>3509</v>
      </c>
      <c r="FL11" s="1">
        <v>25066</v>
      </c>
      <c r="FM11" s="1">
        <v>2588</v>
      </c>
      <c r="FN11" s="1">
        <v>180210</v>
      </c>
      <c r="FO11" s="1">
        <v>1524516</v>
      </c>
      <c r="FP11" s="1">
        <v>84</v>
      </c>
      <c r="FQ11" s="1">
        <v>69</v>
      </c>
      <c r="FR11" s="1">
        <v>47</v>
      </c>
      <c r="FS11" s="1">
        <v>81</v>
      </c>
      <c r="FT11" s="1">
        <v>82</v>
      </c>
      <c r="FU11" s="1">
        <v>61</v>
      </c>
      <c r="FV11" s="1">
        <v>86</v>
      </c>
      <c r="FW11" s="1">
        <v>80</v>
      </c>
      <c r="FX11" s="1">
        <v>88</v>
      </c>
      <c r="FY11" s="1">
        <v>89</v>
      </c>
      <c r="FZ11" s="3">
        <v>1.4850000000000001</v>
      </c>
      <c r="GA11" s="3">
        <v>-0.22900000000000001</v>
      </c>
      <c r="GB11" s="3">
        <v>-6.6000000000000003E-2</v>
      </c>
      <c r="GC11" s="3">
        <v>-4.0000000000000001E-3</v>
      </c>
      <c r="GD11" s="3">
        <v>-0.36099999999999999</v>
      </c>
      <c r="GE11" s="3">
        <v>0.13500000000000001</v>
      </c>
      <c r="GF11" s="3">
        <v>0.69799999999999995</v>
      </c>
      <c r="GG11" s="3">
        <v>3.5999999999999997E-2</v>
      </c>
      <c r="GH11" s="3">
        <v>-0.28999999999999998</v>
      </c>
      <c r="GI11" s="3">
        <v>-0.191</v>
      </c>
      <c r="GJ11" s="3">
        <v>0.71699999999999997</v>
      </c>
      <c r="GK11" s="3">
        <v>-0.17100000000000001</v>
      </c>
      <c r="GL11" s="3">
        <v>-0.38200000000000001</v>
      </c>
      <c r="GM11" s="3">
        <v>0.379</v>
      </c>
      <c r="GN11" s="3">
        <v>-0.16900000000000001</v>
      </c>
      <c r="GO11" s="3">
        <v>8.2000000000000003E-2</v>
      </c>
      <c r="GP11" s="3">
        <v>-0.41</v>
      </c>
      <c r="GQ11" s="3">
        <v>-4.1000000000000002E-2</v>
      </c>
      <c r="GR11" s="3">
        <v>-2.5999999999999999E-2</v>
      </c>
      <c r="GS11" s="3">
        <v>-0.01</v>
      </c>
      <c r="GT11" s="3">
        <v>-0.107</v>
      </c>
      <c r="GU11" s="3">
        <v>-9.1999999999999998E-2</v>
      </c>
      <c r="GV11" s="3">
        <v>1.2999999999999999E-2</v>
      </c>
      <c r="GW11" s="3">
        <v>6.8000000000000005E-2</v>
      </c>
      <c r="GX11" s="3">
        <v>-0.247</v>
      </c>
      <c r="GY11" s="3">
        <v>-2.3E-2</v>
      </c>
      <c r="GZ11" s="4">
        <v>120</v>
      </c>
      <c r="HA11" s="4">
        <v>108</v>
      </c>
      <c r="HB11" s="4">
        <v>138</v>
      </c>
      <c r="HC11" s="4">
        <v>99</v>
      </c>
      <c r="HD11" s="4">
        <v>153</v>
      </c>
      <c r="HE11" s="4">
        <v>133</v>
      </c>
      <c r="HF11" s="1">
        <v>4461</v>
      </c>
      <c r="HG11" s="1">
        <v>2757</v>
      </c>
      <c r="HH11" s="1">
        <v>2553</v>
      </c>
      <c r="HI11" s="1">
        <v>2704</v>
      </c>
      <c r="HJ11" s="1">
        <v>2044</v>
      </c>
      <c r="HK11" s="1">
        <v>2506</v>
      </c>
      <c r="HL11" s="1">
        <v>1497</v>
      </c>
      <c r="HM11" s="1">
        <v>4515</v>
      </c>
      <c r="HN11" s="1">
        <v>5679</v>
      </c>
      <c r="HO11" s="1">
        <v>5908</v>
      </c>
      <c r="HP11" s="1">
        <v>6826</v>
      </c>
      <c r="HQ11" s="1">
        <v>7891</v>
      </c>
      <c r="HR11" s="1">
        <v>7467</v>
      </c>
      <c r="HS11" s="1">
        <v>23290</v>
      </c>
      <c r="HT11" s="1">
        <v>21272</v>
      </c>
      <c r="HU11" s="1">
        <v>33957</v>
      </c>
      <c r="HV11" s="1">
        <v>28330</v>
      </c>
      <c r="HW11" s="1">
        <v>66670</v>
      </c>
      <c r="HX11" s="1">
        <v>63732</v>
      </c>
      <c r="HY11" s="1">
        <v>130116</v>
      </c>
      <c r="HZ11" s="1">
        <v>114425</v>
      </c>
      <c r="IA11" s="1">
        <v>268613</v>
      </c>
      <c r="IB11" s="1">
        <v>136024</v>
      </c>
      <c r="IC11" s="1">
        <v>91468</v>
      </c>
      <c r="ID11" s="1">
        <v>481430</v>
      </c>
      <c r="IE11" s="1">
        <v>2081</v>
      </c>
      <c r="IF11" s="1">
        <v>2447</v>
      </c>
      <c r="IG11" s="1">
        <v>4527</v>
      </c>
      <c r="IH11" s="1">
        <v>6986</v>
      </c>
      <c r="II11" s="1">
        <v>4333</v>
      </c>
      <c r="IJ11" s="1">
        <v>4756</v>
      </c>
      <c r="IK11" s="1">
        <v>4905</v>
      </c>
      <c r="IL11" s="1">
        <v>8141</v>
      </c>
      <c r="IM11" s="1">
        <v>8754</v>
      </c>
      <c r="IN11" s="1">
        <v>12777</v>
      </c>
      <c r="IO11" s="1">
        <v>11401</v>
      </c>
      <c r="IP11" s="1">
        <v>17428</v>
      </c>
      <c r="IQ11" s="1">
        <v>17029</v>
      </c>
      <c r="IR11" s="1">
        <v>21365</v>
      </c>
      <c r="IS11" s="1">
        <v>20998</v>
      </c>
      <c r="IT11" s="1">
        <v>55517</v>
      </c>
      <c r="IU11" s="1">
        <v>55215</v>
      </c>
      <c r="IV11" s="1">
        <v>150868</v>
      </c>
      <c r="IW11">
        <v>131569</v>
      </c>
      <c r="IX11">
        <v>169144</v>
      </c>
      <c r="IY11">
        <v>100470</v>
      </c>
      <c r="IZ11">
        <v>23693</v>
      </c>
      <c r="JA11">
        <v>1216</v>
      </c>
      <c r="JB11">
        <v>884077</v>
      </c>
      <c r="JC11">
        <v>101925</v>
      </c>
      <c r="JD11">
        <v>40825</v>
      </c>
      <c r="JE11">
        <v>18977</v>
      </c>
      <c r="JF11">
        <v>15400</v>
      </c>
      <c r="JG11">
        <v>14150</v>
      </c>
      <c r="JH11">
        <v>16749</v>
      </c>
      <c r="JI11">
        <v>15196</v>
      </c>
      <c r="JJ11">
        <v>10343</v>
      </c>
      <c r="JK11">
        <v>818</v>
      </c>
      <c r="JL11">
        <v>182155</v>
      </c>
      <c r="JM11">
        <v>66421</v>
      </c>
      <c r="JN11">
        <v>89690</v>
      </c>
      <c r="JO11">
        <v>118929</v>
      </c>
      <c r="JP11">
        <v>125484</v>
      </c>
      <c r="JQ11">
        <v>111177</v>
      </c>
      <c r="JR11">
        <v>88760</v>
      </c>
      <c r="JS11">
        <v>84880</v>
      </c>
      <c r="JT11">
        <v>4364</v>
      </c>
      <c r="JU11">
        <v>464</v>
      </c>
      <c r="JV11">
        <v>64534</v>
      </c>
      <c r="JW11">
        <v>80167</v>
      </c>
      <c r="JX11">
        <v>150054</v>
      </c>
      <c r="JY11">
        <v>222979</v>
      </c>
      <c r="JZ11">
        <v>287822</v>
      </c>
      <c r="KA11">
        <v>276951</v>
      </c>
      <c r="KB11">
        <v>324479</v>
      </c>
      <c r="KC11">
        <v>182166</v>
      </c>
      <c r="KD11">
        <v>401632</v>
      </c>
      <c r="KE11">
        <v>11343</v>
      </c>
      <c r="KF11">
        <v>2399</v>
      </c>
      <c r="KG11">
        <v>112709</v>
      </c>
      <c r="KH11">
        <v>185091</v>
      </c>
      <c r="KI11">
        <v>68648</v>
      </c>
      <c r="KJ11">
        <v>227195</v>
      </c>
      <c r="KK11">
        <v>68885</v>
      </c>
      <c r="KL11">
        <v>14035</v>
      </c>
      <c r="KM11">
        <v>110311</v>
      </c>
      <c r="KN11">
        <v>133975</v>
      </c>
      <c r="KO11">
        <v>66494</v>
      </c>
      <c r="KP11">
        <v>313108</v>
      </c>
      <c r="KQ11">
        <v>2225</v>
      </c>
      <c r="KR11">
        <v>87177</v>
      </c>
      <c r="KS11">
        <v>277185</v>
      </c>
      <c r="KT11">
        <v>304880</v>
      </c>
      <c r="KU11">
        <v>80383</v>
      </c>
      <c r="KV11">
        <v>140874</v>
      </c>
      <c r="KW11">
        <v>121650</v>
      </c>
      <c r="KX11">
        <v>107766</v>
      </c>
      <c r="KY11">
        <v>1466527</v>
      </c>
      <c r="KZ11">
        <v>133266</v>
      </c>
      <c r="LA11">
        <v>235142</v>
      </c>
      <c r="LB11">
        <v>198994</v>
      </c>
      <c r="LC11">
        <v>99329</v>
      </c>
      <c r="LD11">
        <v>58252</v>
      </c>
      <c r="LE11">
        <v>241482</v>
      </c>
      <c r="LF11">
        <v>3341</v>
      </c>
      <c r="LG11">
        <v>1417111</v>
      </c>
      <c r="LH11">
        <v>36624</v>
      </c>
      <c r="LI11">
        <v>178028</v>
      </c>
      <c r="LJ11">
        <v>27390</v>
      </c>
      <c r="LK11">
        <v>153802</v>
      </c>
      <c r="LL11">
        <v>36737</v>
      </c>
      <c r="LM11">
        <v>111569</v>
      </c>
      <c r="LN11">
        <v>4479</v>
      </c>
      <c r="LO11">
        <v>25044</v>
      </c>
      <c r="LP11">
        <v>2463.73315</v>
      </c>
      <c r="LQ11">
        <v>2051.5549700000001</v>
      </c>
    </row>
    <row r="12" spans="1:329" x14ac:dyDescent="0.25">
      <c r="A12" s="5" t="s">
        <v>334</v>
      </c>
      <c r="B12" s="5" t="s">
        <v>268</v>
      </c>
      <c r="C12" s="1">
        <v>4697124</v>
      </c>
      <c r="D12" s="1">
        <v>5252886</v>
      </c>
      <c r="E12" s="1">
        <v>5691243</v>
      </c>
      <c r="F12" s="1">
        <v>6060905</v>
      </c>
      <c r="G12" s="1">
        <v>6173032</v>
      </c>
      <c r="H12" s="1">
        <v>1536621</v>
      </c>
      <c r="I12" s="1">
        <v>1687118</v>
      </c>
      <c r="J12" s="1">
        <v>1814918</v>
      </c>
      <c r="K12" s="1">
        <v>1955379</v>
      </c>
      <c r="L12" s="1">
        <v>2026694</v>
      </c>
      <c r="M12" s="1">
        <v>1994795</v>
      </c>
      <c r="N12" s="1">
        <v>1476516</v>
      </c>
      <c r="O12" s="1">
        <v>478863</v>
      </c>
      <c r="P12" s="1">
        <v>39416</v>
      </c>
      <c r="Q12" s="1">
        <v>79757</v>
      </c>
      <c r="R12" s="1">
        <v>7803</v>
      </c>
      <c r="S12" s="1">
        <v>55</v>
      </c>
      <c r="T12" s="1">
        <v>5416232</v>
      </c>
      <c r="U12" s="1">
        <v>602622</v>
      </c>
      <c r="V12" s="1">
        <v>42051</v>
      </c>
      <c r="W12" s="1">
        <v>1763</v>
      </c>
      <c r="X12" s="1">
        <v>218</v>
      </c>
      <c r="Y12" s="2">
        <v>38.82</v>
      </c>
      <c r="Z12" s="1">
        <v>337407</v>
      </c>
      <c r="AA12" s="1">
        <v>357404</v>
      </c>
      <c r="AB12" s="1">
        <v>383615</v>
      </c>
      <c r="AC12" s="1">
        <v>369445</v>
      </c>
      <c r="AD12" s="1">
        <v>351895</v>
      </c>
      <c r="AE12" s="1">
        <v>408852</v>
      </c>
      <c r="AF12" s="1">
        <v>414776</v>
      </c>
      <c r="AG12" s="1">
        <v>422464</v>
      </c>
      <c r="AH12" s="1">
        <v>402982</v>
      </c>
      <c r="AI12" s="1">
        <v>428336</v>
      </c>
      <c r="AJ12" s="1">
        <v>420403</v>
      </c>
      <c r="AK12" s="1">
        <v>426218</v>
      </c>
      <c r="AL12" s="1">
        <v>385604</v>
      </c>
      <c r="AM12" s="1">
        <v>315826</v>
      </c>
      <c r="AN12" s="1">
        <v>243700</v>
      </c>
      <c r="AO12" s="1">
        <v>165347</v>
      </c>
      <c r="AP12" s="1">
        <v>108521</v>
      </c>
      <c r="AQ12" s="1">
        <v>118114</v>
      </c>
      <c r="AR12" s="1">
        <v>2989321</v>
      </c>
      <c r="AS12" s="1">
        <v>3071584</v>
      </c>
      <c r="AT12" s="1">
        <v>2063911</v>
      </c>
      <c r="AU12" s="1">
        <v>371923</v>
      </c>
      <c r="AV12" s="1">
        <v>15120</v>
      </c>
      <c r="AW12" s="1">
        <v>1788073</v>
      </c>
      <c r="AX12" s="1">
        <v>32813</v>
      </c>
      <c r="AY12" s="1">
        <v>13634</v>
      </c>
      <c r="AZ12" s="1">
        <v>220371</v>
      </c>
      <c r="BA12" s="1">
        <v>1555423</v>
      </c>
      <c r="BB12" s="1">
        <v>4982480</v>
      </c>
      <c r="BC12" s="1">
        <v>1609669</v>
      </c>
      <c r="BD12" s="1">
        <v>2420416</v>
      </c>
      <c r="BE12" s="1">
        <v>273837</v>
      </c>
      <c r="BF12" s="1">
        <v>261827</v>
      </c>
      <c r="BG12" s="1">
        <v>416731</v>
      </c>
      <c r="BH12" s="1">
        <v>4261143</v>
      </c>
      <c r="BI12" s="1">
        <v>256511</v>
      </c>
      <c r="BJ12" s="1">
        <v>234173</v>
      </c>
      <c r="BK12" s="1">
        <v>894689</v>
      </c>
      <c r="BL12" s="1">
        <v>905012</v>
      </c>
      <c r="BM12" s="1">
        <v>383017</v>
      </c>
      <c r="BN12" s="1">
        <v>1039083</v>
      </c>
      <c r="BO12" s="1">
        <v>548658</v>
      </c>
      <c r="BP12" s="1">
        <v>4909799</v>
      </c>
      <c r="BQ12" s="1">
        <v>11927</v>
      </c>
      <c r="BR12" s="1">
        <v>3120156</v>
      </c>
      <c r="BS12" s="1">
        <v>97184</v>
      </c>
      <c r="BT12" s="1">
        <v>1680532</v>
      </c>
      <c r="BU12" s="1">
        <v>1516642</v>
      </c>
      <c r="BV12" s="1">
        <v>438737</v>
      </c>
      <c r="BW12" s="1">
        <v>554968</v>
      </c>
      <c r="BX12" s="1">
        <v>55005</v>
      </c>
      <c r="BY12" s="1">
        <v>129763</v>
      </c>
      <c r="BZ12" s="1">
        <v>606869</v>
      </c>
      <c r="CA12" s="1">
        <v>54597</v>
      </c>
      <c r="CB12" s="1">
        <v>115133</v>
      </c>
      <c r="CC12" s="2">
        <v>3.08</v>
      </c>
      <c r="CD12" s="1">
        <v>329779</v>
      </c>
      <c r="CE12" s="1">
        <v>551632</v>
      </c>
      <c r="CF12" s="1">
        <v>361767</v>
      </c>
      <c r="CG12" s="1">
        <v>353041</v>
      </c>
      <c r="CH12" s="1">
        <v>184041</v>
      </c>
      <c r="CI12" s="1">
        <v>87010</v>
      </c>
      <c r="CJ12" s="1">
        <v>88110</v>
      </c>
      <c r="CK12" s="2">
        <v>51.55</v>
      </c>
      <c r="CL12" s="1">
        <v>53160</v>
      </c>
      <c r="CM12" s="1">
        <v>268437</v>
      </c>
      <c r="CN12" s="1">
        <v>355805</v>
      </c>
      <c r="CO12" s="1">
        <v>397519</v>
      </c>
      <c r="CP12" s="1">
        <v>394921</v>
      </c>
      <c r="CQ12" s="1">
        <v>279459</v>
      </c>
      <c r="CR12" s="1">
        <v>144334</v>
      </c>
      <c r="CS12" s="1">
        <v>61745</v>
      </c>
      <c r="CT12" s="1">
        <v>71361</v>
      </c>
      <c r="CU12" s="1">
        <v>445530</v>
      </c>
      <c r="CV12" s="1">
        <v>1438487</v>
      </c>
      <c r="CW12" s="1">
        <v>38803</v>
      </c>
      <c r="CX12" s="1">
        <v>94996</v>
      </c>
      <c r="CY12" s="1">
        <v>107140</v>
      </c>
      <c r="CZ12" s="1">
        <v>54974</v>
      </c>
      <c r="DA12" s="1">
        <v>37284</v>
      </c>
      <c r="DB12" s="1">
        <v>43338</v>
      </c>
      <c r="DC12" s="1">
        <v>50799</v>
      </c>
      <c r="DD12" s="1">
        <v>46893</v>
      </c>
      <c r="DE12" s="1">
        <v>49519</v>
      </c>
      <c r="DF12" s="1">
        <v>52222</v>
      </c>
      <c r="DG12" s="1">
        <v>56670</v>
      </c>
      <c r="DH12" s="1">
        <v>55179</v>
      </c>
      <c r="DI12" s="1">
        <v>114489</v>
      </c>
      <c r="DJ12" s="1">
        <v>177594</v>
      </c>
      <c r="DK12" s="1">
        <v>298453</v>
      </c>
      <c r="DL12" s="1">
        <v>217646</v>
      </c>
      <c r="DM12" s="1">
        <v>204537</v>
      </c>
      <c r="DN12" s="1">
        <v>259255</v>
      </c>
      <c r="DO12" s="1">
        <v>236527</v>
      </c>
      <c r="DP12" s="1">
        <v>56161</v>
      </c>
      <c r="DQ12" s="1">
        <v>85823</v>
      </c>
      <c r="DR12" s="1">
        <v>109693</v>
      </c>
      <c r="DS12" s="1">
        <v>114590</v>
      </c>
      <c r="DT12" s="1">
        <v>100651</v>
      </c>
      <c r="DU12" s="1">
        <v>85852</v>
      </c>
      <c r="DV12" s="1">
        <v>66693</v>
      </c>
      <c r="DW12" s="2">
        <v>80312.070000000007</v>
      </c>
      <c r="DX12" s="2">
        <v>37924.519999999997</v>
      </c>
      <c r="DY12" s="2">
        <v>2711.94</v>
      </c>
      <c r="DZ12" s="2">
        <v>598.16999999999996</v>
      </c>
      <c r="EA12" s="2">
        <v>2888.24</v>
      </c>
      <c r="EB12" s="2">
        <v>2612.4499999999998</v>
      </c>
      <c r="EC12" s="2">
        <v>4648.17</v>
      </c>
      <c r="ED12" s="2">
        <v>11735.78</v>
      </c>
      <c r="EE12" s="2">
        <v>6617.41</v>
      </c>
      <c r="EF12" s="2">
        <v>2877.9</v>
      </c>
      <c r="EG12" s="2">
        <v>16811.02</v>
      </c>
      <c r="EH12" s="2">
        <v>3193.7</v>
      </c>
      <c r="EI12" s="2">
        <v>1522.48</v>
      </c>
      <c r="EJ12" s="2">
        <v>1078.75</v>
      </c>
      <c r="EK12" s="2">
        <v>174.98</v>
      </c>
      <c r="EL12" s="2">
        <v>434.13</v>
      </c>
      <c r="EM12" s="2">
        <v>14674.73</v>
      </c>
      <c r="EN12" s="2">
        <v>5692.84</v>
      </c>
      <c r="EO12" s="2">
        <v>2039.38</v>
      </c>
      <c r="EP12" s="1">
        <v>61412</v>
      </c>
      <c r="EQ12" s="1">
        <v>8953</v>
      </c>
      <c r="ER12" s="1">
        <v>725</v>
      </c>
      <c r="ES12" s="1">
        <v>20361</v>
      </c>
      <c r="ET12" s="1">
        <v>83878</v>
      </c>
      <c r="EU12" s="1">
        <v>123954</v>
      </c>
      <c r="EV12" s="1">
        <v>181961</v>
      </c>
      <c r="EW12" s="1">
        <v>8219</v>
      </c>
      <c r="EX12" s="1">
        <v>47067</v>
      </c>
      <c r="EY12" s="1">
        <v>9520</v>
      </c>
      <c r="EZ12" s="1">
        <v>545499</v>
      </c>
      <c r="FA12" s="1">
        <v>29480</v>
      </c>
      <c r="FB12" s="1">
        <v>639656</v>
      </c>
      <c r="FC12" s="1">
        <v>105065</v>
      </c>
      <c r="FD12" s="1">
        <v>60851</v>
      </c>
      <c r="FE12" s="1">
        <v>317755</v>
      </c>
      <c r="FF12" s="1">
        <v>8740</v>
      </c>
      <c r="FG12" s="1">
        <v>865948</v>
      </c>
      <c r="FH12" s="1">
        <v>245905</v>
      </c>
      <c r="FI12" s="1">
        <v>18401</v>
      </c>
      <c r="FJ12" s="1">
        <v>1309</v>
      </c>
      <c r="FK12" s="1">
        <v>3573</v>
      </c>
      <c r="FL12" s="1">
        <v>22496</v>
      </c>
      <c r="FM12" s="1">
        <v>2094</v>
      </c>
      <c r="FN12" s="1">
        <v>172511</v>
      </c>
      <c r="FO12" s="1">
        <v>1257514</v>
      </c>
      <c r="FP12" s="1">
        <v>78</v>
      </c>
      <c r="FQ12" s="1">
        <v>63</v>
      </c>
      <c r="FR12" s="1">
        <v>54</v>
      </c>
      <c r="FS12" s="1">
        <v>69</v>
      </c>
      <c r="FT12" s="1">
        <v>75</v>
      </c>
      <c r="FU12" s="1">
        <v>57</v>
      </c>
      <c r="FV12" s="1">
        <v>80</v>
      </c>
      <c r="FW12" s="1">
        <v>83</v>
      </c>
      <c r="FX12" s="1">
        <v>73</v>
      </c>
      <c r="FY12" s="1">
        <v>135</v>
      </c>
      <c r="FZ12" s="3">
        <v>0.5</v>
      </c>
      <c r="GA12" s="3">
        <v>0.84399999999999997</v>
      </c>
      <c r="GB12" s="3">
        <v>9.5000000000000001E-2</v>
      </c>
      <c r="GC12" s="3">
        <v>0.38800000000000001</v>
      </c>
      <c r="GD12" s="3">
        <v>0.23699999999999999</v>
      </c>
      <c r="GE12" s="3">
        <v>-0.48299999999999998</v>
      </c>
      <c r="GF12" s="3">
        <v>2.3370000000000002</v>
      </c>
      <c r="GG12" s="3">
        <v>5.0000000000000001E-3</v>
      </c>
      <c r="GH12" s="3">
        <v>8.1000000000000003E-2</v>
      </c>
      <c r="GI12" s="3">
        <v>0.111</v>
      </c>
      <c r="GJ12" s="3">
        <v>0.622</v>
      </c>
      <c r="GK12" s="3">
        <v>-0.22600000000000001</v>
      </c>
      <c r="GL12" s="3">
        <v>-0.42499999999999999</v>
      </c>
      <c r="GM12" s="3">
        <v>-0.40500000000000003</v>
      </c>
      <c r="GN12" s="3">
        <v>-0.16800000000000001</v>
      </c>
      <c r="GO12" s="3">
        <v>0.107</v>
      </c>
      <c r="GP12" s="3">
        <v>-0.38500000000000001</v>
      </c>
      <c r="GQ12" s="3">
        <v>9.0999999999999998E-2</v>
      </c>
      <c r="GR12" s="3">
        <v>-0.28199999999999997</v>
      </c>
      <c r="GS12" s="3">
        <v>0.4</v>
      </c>
      <c r="GT12" s="3">
        <v>-0.16200000000000001</v>
      </c>
      <c r="GU12" s="3">
        <v>0.10199999999999999</v>
      </c>
      <c r="GV12" s="3">
        <v>-8.8999999999999996E-2</v>
      </c>
      <c r="GW12" s="3">
        <v>-0.26300000000000001</v>
      </c>
      <c r="GX12" s="3">
        <v>-3.3000000000000002E-2</v>
      </c>
      <c r="GY12" s="3">
        <v>-7.4999999999999997E-2</v>
      </c>
      <c r="GZ12" s="4">
        <v>117</v>
      </c>
      <c r="HA12" s="4">
        <v>105</v>
      </c>
      <c r="HB12" s="4">
        <v>131</v>
      </c>
      <c r="HC12" s="4">
        <v>99</v>
      </c>
      <c r="HD12" s="4">
        <v>137</v>
      </c>
      <c r="HE12" s="4">
        <v>146</v>
      </c>
      <c r="HF12" s="1">
        <v>6846</v>
      </c>
      <c r="HG12" s="1">
        <v>4270</v>
      </c>
      <c r="HH12" s="1">
        <v>4298</v>
      </c>
      <c r="HI12" s="1">
        <v>4470</v>
      </c>
      <c r="HJ12" s="1">
        <v>3511</v>
      </c>
      <c r="HK12" s="1">
        <v>4374</v>
      </c>
      <c r="HL12" s="1">
        <v>2806</v>
      </c>
      <c r="HM12" s="1">
        <v>8011</v>
      </c>
      <c r="HN12" s="1">
        <v>8833</v>
      </c>
      <c r="HO12" s="1">
        <v>9301</v>
      </c>
      <c r="HP12" s="1">
        <v>10108</v>
      </c>
      <c r="HQ12" s="1">
        <v>12061</v>
      </c>
      <c r="HR12" s="1">
        <v>11099</v>
      </c>
      <c r="HS12" s="1">
        <v>36352</v>
      </c>
      <c r="HT12" s="1">
        <v>35342</v>
      </c>
      <c r="HU12" s="1">
        <v>55420</v>
      </c>
      <c r="HV12" s="1">
        <v>44220</v>
      </c>
      <c r="HW12" s="1">
        <v>104542</v>
      </c>
      <c r="HX12" s="1">
        <v>107228</v>
      </c>
      <c r="HY12" s="1">
        <v>233104</v>
      </c>
      <c r="HZ12" s="1">
        <v>190944</v>
      </c>
      <c r="IA12" s="1">
        <v>316733</v>
      </c>
      <c r="IB12" s="1">
        <v>103735</v>
      </c>
      <c r="IC12" s="1">
        <v>60272</v>
      </c>
      <c r="ID12" s="1">
        <v>392596</v>
      </c>
      <c r="IE12" s="1">
        <v>2088</v>
      </c>
      <c r="IF12" s="1">
        <v>1787</v>
      </c>
      <c r="IG12" s="1">
        <v>2394</v>
      </c>
      <c r="IH12" s="1">
        <v>3843</v>
      </c>
      <c r="II12" s="1">
        <v>2378</v>
      </c>
      <c r="IJ12" s="1">
        <v>2823</v>
      </c>
      <c r="IK12" s="1">
        <v>2594</v>
      </c>
      <c r="IL12" s="1">
        <v>3913</v>
      </c>
      <c r="IM12" s="1">
        <v>3726</v>
      </c>
      <c r="IN12" s="1">
        <v>6545</v>
      </c>
      <c r="IO12" s="1">
        <v>4528</v>
      </c>
      <c r="IP12" s="1">
        <v>7678</v>
      </c>
      <c r="IQ12" s="1">
        <v>6886</v>
      </c>
      <c r="IR12" s="1">
        <v>9245</v>
      </c>
      <c r="IS12" s="1">
        <v>9827</v>
      </c>
      <c r="IT12" s="1">
        <v>24741</v>
      </c>
      <c r="IU12" s="1">
        <v>25461</v>
      </c>
      <c r="IV12" s="1">
        <v>72871</v>
      </c>
      <c r="IW12">
        <v>51038</v>
      </c>
      <c r="IX12">
        <v>95820</v>
      </c>
      <c r="IY12">
        <v>55811</v>
      </c>
      <c r="IZ12">
        <v>15762</v>
      </c>
      <c r="JA12">
        <v>1427</v>
      </c>
      <c r="JB12">
        <v>1053591</v>
      </c>
      <c r="JC12">
        <v>83207</v>
      </c>
      <c r="JD12">
        <v>4825</v>
      </c>
      <c r="JE12">
        <v>8998</v>
      </c>
      <c r="JF12">
        <v>8326</v>
      </c>
      <c r="JG12">
        <v>3591</v>
      </c>
      <c r="JH12">
        <v>3922</v>
      </c>
      <c r="JI12">
        <v>6652</v>
      </c>
      <c r="JJ12">
        <v>18621</v>
      </c>
      <c r="JK12">
        <v>377</v>
      </c>
      <c r="JL12">
        <v>201346</v>
      </c>
      <c r="JM12">
        <v>34035</v>
      </c>
      <c r="JN12">
        <v>10792</v>
      </c>
      <c r="JO12">
        <v>23301</v>
      </c>
      <c r="JP12">
        <v>18247</v>
      </c>
      <c r="JQ12">
        <v>14532</v>
      </c>
      <c r="JR12">
        <v>15270</v>
      </c>
      <c r="JS12">
        <v>26914</v>
      </c>
      <c r="JT12">
        <v>3784</v>
      </c>
      <c r="JU12">
        <v>270</v>
      </c>
      <c r="JV12">
        <v>44484</v>
      </c>
      <c r="JW12">
        <v>59913</v>
      </c>
      <c r="JX12">
        <v>125447</v>
      </c>
      <c r="JY12">
        <v>220581</v>
      </c>
      <c r="JZ12">
        <v>355070</v>
      </c>
      <c r="KA12">
        <v>309163</v>
      </c>
      <c r="KB12">
        <v>262458</v>
      </c>
      <c r="KC12">
        <v>84537</v>
      </c>
      <c r="KD12">
        <v>78948</v>
      </c>
      <c r="KE12">
        <v>15065</v>
      </c>
      <c r="KF12">
        <v>1880</v>
      </c>
      <c r="KG12">
        <v>134514</v>
      </c>
      <c r="KH12">
        <v>252413</v>
      </c>
      <c r="KI12">
        <v>79121</v>
      </c>
      <c r="KJ12">
        <v>269414</v>
      </c>
      <c r="KK12">
        <v>103341</v>
      </c>
      <c r="KL12">
        <v>22719</v>
      </c>
      <c r="KM12">
        <v>61494</v>
      </c>
      <c r="KN12">
        <v>108128</v>
      </c>
      <c r="KO12">
        <v>50877</v>
      </c>
      <c r="KP12">
        <v>162229</v>
      </c>
      <c r="KQ12">
        <v>1417</v>
      </c>
      <c r="KR12">
        <v>98271</v>
      </c>
      <c r="KS12">
        <v>200260</v>
      </c>
      <c r="KT12">
        <v>304846</v>
      </c>
      <c r="KU12">
        <v>51519</v>
      </c>
      <c r="KV12">
        <v>148469</v>
      </c>
      <c r="KW12">
        <v>123022</v>
      </c>
      <c r="KX12">
        <v>131402</v>
      </c>
      <c r="KY12">
        <v>1529575</v>
      </c>
      <c r="KZ12">
        <v>77756</v>
      </c>
      <c r="LA12">
        <v>155703</v>
      </c>
      <c r="LB12">
        <v>213016</v>
      </c>
      <c r="LC12">
        <v>93160</v>
      </c>
      <c r="LD12">
        <v>76418</v>
      </c>
      <c r="LE12">
        <v>171447</v>
      </c>
      <c r="LF12">
        <v>3326</v>
      </c>
      <c r="LG12">
        <v>832175</v>
      </c>
      <c r="LH12">
        <v>39754</v>
      </c>
      <c r="LI12">
        <v>254894</v>
      </c>
      <c r="LJ12">
        <v>10670</v>
      </c>
      <c r="LK12">
        <v>74123</v>
      </c>
      <c r="LL12">
        <v>76438</v>
      </c>
      <c r="LM12">
        <v>233965</v>
      </c>
      <c r="LN12">
        <v>2884</v>
      </c>
      <c r="LO12">
        <v>15698</v>
      </c>
      <c r="LP12">
        <v>1567.7264399999999</v>
      </c>
      <c r="LQ12">
        <v>3255.3249500000002</v>
      </c>
    </row>
    <row r="13" spans="1:329" x14ac:dyDescent="0.25">
      <c r="A13" s="5" t="s">
        <v>335</v>
      </c>
      <c r="B13" s="5" t="s">
        <v>269</v>
      </c>
      <c r="C13" s="1">
        <v>4028547</v>
      </c>
      <c r="D13" s="1">
        <v>4149890</v>
      </c>
      <c r="E13" s="1">
        <v>4134771</v>
      </c>
      <c r="F13" s="1">
        <v>4265230</v>
      </c>
      <c r="G13" s="1">
        <v>4395462</v>
      </c>
      <c r="H13" s="1">
        <v>1421822</v>
      </c>
      <c r="I13" s="1">
        <v>1543872</v>
      </c>
      <c r="J13" s="1">
        <v>1587019</v>
      </c>
      <c r="K13" s="1">
        <v>1687597</v>
      </c>
      <c r="L13" s="1">
        <v>1743784</v>
      </c>
      <c r="M13" s="1">
        <v>1734964</v>
      </c>
      <c r="N13" s="1">
        <v>1439760</v>
      </c>
      <c r="O13" s="1">
        <v>247836</v>
      </c>
      <c r="P13" s="1">
        <v>47368</v>
      </c>
      <c r="Q13" s="1">
        <v>81183</v>
      </c>
      <c r="R13" s="1">
        <v>13147</v>
      </c>
      <c r="S13" s="1">
        <v>35</v>
      </c>
      <c r="T13" s="1">
        <v>3658552</v>
      </c>
      <c r="U13" s="1">
        <v>583385</v>
      </c>
      <c r="V13" s="1">
        <v>23293</v>
      </c>
      <c r="W13" s="1">
        <v>1726</v>
      </c>
      <c r="X13" s="1">
        <v>10</v>
      </c>
      <c r="Y13" s="2">
        <v>43.38</v>
      </c>
      <c r="Z13" s="1">
        <v>214507</v>
      </c>
      <c r="AA13" s="1">
        <v>234325</v>
      </c>
      <c r="AB13" s="1">
        <v>260387</v>
      </c>
      <c r="AC13" s="1">
        <v>248898</v>
      </c>
      <c r="AD13" s="1">
        <v>206444</v>
      </c>
      <c r="AE13" s="1">
        <v>236412</v>
      </c>
      <c r="AF13" s="1">
        <v>250167</v>
      </c>
      <c r="AG13" s="1">
        <v>262479</v>
      </c>
      <c r="AH13" s="1">
        <v>249908</v>
      </c>
      <c r="AI13" s="1">
        <v>278122</v>
      </c>
      <c r="AJ13" s="1">
        <v>297899</v>
      </c>
      <c r="AK13" s="1">
        <v>336291</v>
      </c>
      <c r="AL13" s="1">
        <v>328605</v>
      </c>
      <c r="AM13" s="1">
        <v>285493</v>
      </c>
      <c r="AN13" s="1">
        <v>229321</v>
      </c>
      <c r="AO13" s="1">
        <v>156242</v>
      </c>
      <c r="AP13" s="1">
        <v>96745</v>
      </c>
      <c r="AQ13" s="1">
        <v>92983</v>
      </c>
      <c r="AR13" s="1">
        <v>2086424</v>
      </c>
      <c r="AS13" s="1">
        <v>2178806</v>
      </c>
      <c r="AT13" s="1">
        <v>3167608</v>
      </c>
      <c r="AU13" s="1">
        <v>307887</v>
      </c>
      <c r="AV13" s="1">
        <v>13762</v>
      </c>
      <c r="AW13" s="1">
        <v>210300</v>
      </c>
      <c r="AX13" s="1">
        <v>4027</v>
      </c>
      <c r="AY13" s="1">
        <v>3657</v>
      </c>
      <c r="AZ13" s="1">
        <v>84627</v>
      </c>
      <c r="BA13" s="1">
        <v>473736</v>
      </c>
      <c r="BB13" s="1">
        <v>3556012</v>
      </c>
      <c r="BC13" s="1">
        <v>935695</v>
      </c>
      <c r="BD13" s="1">
        <v>1939068</v>
      </c>
      <c r="BE13" s="1">
        <v>107244</v>
      </c>
      <c r="BF13" s="1">
        <v>213414</v>
      </c>
      <c r="BG13" s="1">
        <v>360591</v>
      </c>
      <c r="BH13" s="1">
        <v>3100670</v>
      </c>
      <c r="BI13" s="1">
        <v>68495</v>
      </c>
      <c r="BJ13" s="1">
        <v>113226</v>
      </c>
      <c r="BK13" s="1">
        <v>697686</v>
      </c>
      <c r="BL13" s="1">
        <v>652732</v>
      </c>
      <c r="BM13" s="1">
        <v>289304</v>
      </c>
      <c r="BN13" s="1">
        <v>790457</v>
      </c>
      <c r="BO13" s="1">
        <v>488770</v>
      </c>
      <c r="BP13" s="1">
        <v>3505371</v>
      </c>
      <c r="BQ13" s="1">
        <v>7492</v>
      </c>
      <c r="BR13" s="1">
        <v>2216308</v>
      </c>
      <c r="BS13" s="1">
        <v>59757</v>
      </c>
      <c r="BT13" s="1">
        <v>1221814</v>
      </c>
      <c r="BU13" s="1">
        <v>1213721</v>
      </c>
      <c r="BV13" s="1">
        <v>473876</v>
      </c>
      <c r="BW13" s="1">
        <v>371777</v>
      </c>
      <c r="BX13" s="1">
        <v>34651</v>
      </c>
      <c r="BY13" s="1">
        <v>88427</v>
      </c>
      <c r="BZ13" s="1">
        <v>612771</v>
      </c>
      <c r="CA13" s="1">
        <v>31977</v>
      </c>
      <c r="CB13" s="1">
        <v>73916</v>
      </c>
      <c r="CC13" s="2">
        <v>2.5099999999999998</v>
      </c>
      <c r="CD13" s="1">
        <v>389411</v>
      </c>
      <c r="CE13" s="1">
        <v>649165</v>
      </c>
      <c r="CF13" s="1">
        <v>270707</v>
      </c>
      <c r="CG13" s="1">
        <v>225521</v>
      </c>
      <c r="CH13" s="1">
        <v>97066</v>
      </c>
      <c r="CI13" s="1">
        <v>35108</v>
      </c>
      <c r="CJ13" s="1">
        <v>20618</v>
      </c>
      <c r="CK13" s="2">
        <v>55.02</v>
      </c>
      <c r="CL13" s="1">
        <v>45837</v>
      </c>
      <c r="CM13" s="1">
        <v>201139</v>
      </c>
      <c r="CN13" s="1">
        <v>255237</v>
      </c>
      <c r="CO13" s="1">
        <v>304194</v>
      </c>
      <c r="CP13" s="1">
        <v>366280</v>
      </c>
      <c r="CQ13" s="1">
        <v>298636</v>
      </c>
      <c r="CR13" s="1">
        <v>157189</v>
      </c>
      <c r="CS13" s="1">
        <v>59085</v>
      </c>
      <c r="CT13" s="1">
        <v>46419</v>
      </c>
      <c r="CU13" s="1">
        <v>442494</v>
      </c>
      <c r="CV13" s="1">
        <v>1198684</v>
      </c>
      <c r="CW13" s="1">
        <v>42233</v>
      </c>
      <c r="CX13" s="1">
        <v>86057</v>
      </c>
      <c r="CY13" s="1">
        <v>98747</v>
      </c>
      <c r="CZ13" s="1">
        <v>42620</v>
      </c>
      <c r="DA13" s="1">
        <v>27255</v>
      </c>
      <c r="DB13" s="1">
        <v>38287</v>
      </c>
      <c r="DC13" s="1">
        <v>45794</v>
      </c>
      <c r="DD13" s="1">
        <v>45353</v>
      </c>
      <c r="DE13" s="1">
        <v>49658</v>
      </c>
      <c r="DF13" s="1">
        <v>52876</v>
      </c>
      <c r="DG13" s="1">
        <v>57032</v>
      </c>
      <c r="DH13" s="1">
        <v>56252</v>
      </c>
      <c r="DI13" s="1">
        <v>119520</v>
      </c>
      <c r="DJ13" s="1">
        <v>179984</v>
      </c>
      <c r="DK13" s="1">
        <v>292033</v>
      </c>
      <c r="DL13" s="1">
        <v>193468</v>
      </c>
      <c r="DM13" s="1">
        <v>167456</v>
      </c>
      <c r="DN13" s="1">
        <v>179222</v>
      </c>
      <c r="DO13" s="1">
        <v>140787</v>
      </c>
      <c r="DP13" s="1">
        <v>58864</v>
      </c>
      <c r="DQ13" s="1">
        <v>79587</v>
      </c>
      <c r="DR13" s="1">
        <v>96382</v>
      </c>
      <c r="DS13" s="1">
        <v>105835</v>
      </c>
      <c r="DT13" s="1">
        <v>94629</v>
      </c>
      <c r="DU13" s="1">
        <v>76934</v>
      </c>
      <c r="DV13" s="1">
        <v>59467</v>
      </c>
      <c r="DW13" s="2">
        <v>73946.880000000005</v>
      </c>
      <c r="DX13" s="2">
        <v>35013.65</v>
      </c>
      <c r="DY13" s="2">
        <v>2474.2399999999998</v>
      </c>
      <c r="DZ13" s="2">
        <v>543.02</v>
      </c>
      <c r="EA13" s="2">
        <v>2608.92</v>
      </c>
      <c r="EB13" s="2">
        <v>2251.23</v>
      </c>
      <c r="EC13" s="2">
        <v>4252.3</v>
      </c>
      <c r="ED13" s="2">
        <v>10824.9</v>
      </c>
      <c r="EE13" s="2">
        <v>6270.98</v>
      </c>
      <c r="EF13" s="2">
        <v>2644.06</v>
      </c>
      <c r="EG13" s="2">
        <v>15399.55</v>
      </c>
      <c r="EH13" s="2">
        <v>2928.92</v>
      </c>
      <c r="EI13" s="2">
        <v>1407.38</v>
      </c>
      <c r="EJ13" s="2">
        <v>995.45</v>
      </c>
      <c r="EK13" s="2">
        <v>162.87</v>
      </c>
      <c r="EL13" s="2">
        <v>418.28</v>
      </c>
      <c r="EM13" s="2">
        <v>13569.01</v>
      </c>
      <c r="EN13" s="2">
        <v>5355.09</v>
      </c>
      <c r="EO13" s="2">
        <v>1840.68</v>
      </c>
      <c r="EP13" s="1">
        <v>49306</v>
      </c>
      <c r="EQ13" s="1">
        <v>6328</v>
      </c>
      <c r="ER13" s="1">
        <v>998</v>
      </c>
      <c r="ES13" s="1">
        <v>12085</v>
      </c>
      <c r="ET13" s="1">
        <v>55679</v>
      </c>
      <c r="EU13" s="1">
        <v>98476</v>
      </c>
      <c r="EV13" s="1">
        <v>156417</v>
      </c>
      <c r="EW13" s="1">
        <v>9287</v>
      </c>
      <c r="EX13" s="1">
        <v>31112</v>
      </c>
      <c r="EY13" s="1">
        <v>5039</v>
      </c>
      <c r="EZ13" s="1">
        <v>423784</v>
      </c>
      <c r="FA13" s="1">
        <v>25807</v>
      </c>
      <c r="FB13" s="1">
        <v>285862</v>
      </c>
      <c r="FC13" s="1">
        <v>62081</v>
      </c>
      <c r="FD13" s="1">
        <v>36478</v>
      </c>
      <c r="FE13" s="1">
        <v>193578</v>
      </c>
      <c r="FF13" s="1">
        <v>6088</v>
      </c>
      <c r="FG13" s="1">
        <v>553892</v>
      </c>
      <c r="FH13" s="1">
        <v>103589</v>
      </c>
      <c r="FI13" s="1">
        <v>17521</v>
      </c>
      <c r="FJ13" s="1">
        <v>1223</v>
      </c>
      <c r="FK13" s="1">
        <v>3018</v>
      </c>
      <c r="FL13" s="1">
        <v>11439</v>
      </c>
      <c r="FM13" s="1">
        <v>1656</v>
      </c>
      <c r="FN13" s="1">
        <v>117942</v>
      </c>
      <c r="FO13" s="1">
        <v>862626</v>
      </c>
      <c r="FP13" s="1">
        <v>64</v>
      </c>
      <c r="FQ13" s="1">
        <v>46</v>
      </c>
      <c r="FR13" s="1">
        <v>36</v>
      </c>
      <c r="FS13" s="1">
        <v>97</v>
      </c>
      <c r="FT13" s="1">
        <v>33</v>
      </c>
      <c r="FU13" s="1">
        <v>43</v>
      </c>
      <c r="FV13" s="1">
        <v>66</v>
      </c>
      <c r="FW13" s="1">
        <v>60</v>
      </c>
      <c r="FX13" s="1">
        <v>72</v>
      </c>
      <c r="FY13" s="1">
        <v>37</v>
      </c>
      <c r="FZ13" s="3">
        <v>0.4</v>
      </c>
      <c r="GA13" s="3">
        <v>0.58499999999999996</v>
      </c>
      <c r="GB13" s="3">
        <v>0.47099999999999997</v>
      </c>
      <c r="GC13" s="3">
        <v>-0.109</v>
      </c>
      <c r="GD13" s="3">
        <v>1.173</v>
      </c>
      <c r="GE13" s="3">
        <v>-8.1000000000000003E-2</v>
      </c>
      <c r="GF13" s="3">
        <v>-6.2E-2</v>
      </c>
      <c r="GG13" s="3">
        <v>-6.0999999999999999E-2</v>
      </c>
      <c r="GH13" s="3">
        <v>0.107</v>
      </c>
      <c r="GI13" s="3">
        <v>0.113</v>
      </c>
      <c r="GJ13" s="3">
        <v>-0.66700000000000004</v>
      </c>
      <c r="GK13" s="3">
        <v>-0.379</v>
      </c>
      <c r="GL13" s="3">
        <v>-0.69699999999999995</v>
      </c>
      <c r="GM13" s="3">
        <v>-0.14499999999999999</v>
      </c>
      <c r="GN13" s="3">
        <v>-0.26700000000000002</v>
      </c>
      <c r="GO13" s="3">
        <v>2.1999999999999999E-2</v>
      </c>
      <c r="GP13" s="3">
        <v>0.05</v>
      </c>
      <c r="GQ13" s="3">
        <v>0.13300000000000001</v>
      </c>
      <c r="GR13" s="3">
        <v>-2.4E-2</v>
      </c>
      <c r="GS13" s="3">
        <v>0.69</v>
      </c>
      <c r="GT13" s="3">
        <v>-8.8999999999999996E-2</v>
      </c>
      <c r="GU13" s="3">
        <v>-4.0000000000000001E-3</v>
      </c>
      <c r="GV13" s="3">
        <v>-0.30599999999999999</v>
      </c>
      <c r="GW13" s="3">
        <v>-2.5000000000000001E-2</v>
      </c>
      <c r="GX13" s="3">
        <v>3.1E-2</v>
      </c>
      <c r="GY13" s="3">
        <v>-5.8999999999999997E-2</v>
      </c>
      <c r="GZ13" s="4">
        <v>116</v>
      </c>
      <c r="HA13" s="4">
        <v>118</v>
      </c>
      <c r="HB13" s="4">
        <v>123</v>
      </c>
      <c r="HC13" s="4">
        <v>115</v>
      </c>
      <c r="HD13" s="4">
        <v>120</v>
      </c>
      <c r="HE13" s="4">
        <v>93</v>
      </c>
      <c r="HF13" s="1">
        <v>7225</v>
      </c>
      <c r="HG13" s="1">
        <v>5816</v>
      </c>
      <c r="HH13" s="1">
        <v>6578</v>
      </c>
      <c r="HI13" s="1">
        <v>5989</v>
      </c>
      <c r="HJ13" s="1">
        <v>4610</v>
      </c>
      <c r="HK13" s="1">
        <v>4809</v>
      </c>
      <c r="HL13" s="1">
        <v>2915</v>
      </c>
      <c r="HM13" s="1">
        <v>7940</v>
      </c>
      <c r="HN13" s="1">
        <v>10500</v>
      </c>
      <c r="HO13" s="1">
        <v>12072</v>
      </c>
      <c r="HP13" s="1">
        <v>15670</v>
      </c>
      <c r="HQ13" s="1">
        <v>20844</v>
      </c>
      <c r="HR13" s="1">
        <v>22926</v>
      </c>
      <c r="HS13" s="1">
        <v>78719</v>
      </c>
      <c r="HT13" s="1">
        <v>93640</v>
      </c>
      <c r="HU13" s="1">
        <v>150472</v>
      </c>
      <c r="HV13" s="1">
        <v>137018</v>
      </c>
      <c r="HW13" s="1">
        <v>272687</v>
      </c>
      <c r="HX13" s="1">
        <v>192625</v>
      </c>
      <c r="HY13" s="1">
        <v>173929</v>
      </c>
      <c r="HZ13" s="1">
        <v>62885</v>
      </c>
      <c r="IA13" s="1">
        <v>48727</v>
      </c>
      <c r="IB13" s="1">
        <v>13952</v>
      </c>
      <c r="IC13" s="1">
        <v>11735</v>
      </c>
      <c r="ID13" s="1">
        <v>217308</v>
      </c>
      <c r="IE13" s="1">
        <v>1408</v>
      </c>
      <c r="IF13" s="1">
        <v>1453</v>
      </c>
      <c r="IG13" s="1">
        <v>1367</v>
      </c>
      <c r="IH13" s="1">
        <v>1682</v>
      </c>
      <c r="II13" s="1">
        <v>1471</v>
      </c>
      <c r="IJ13" s="1">
        <v>1986</v>
      </c>
      <c r="IK13" s="1">
        <v>2438</v>
      </c>
      <c r="IL13" s="1">
        <v>3792</v>
      </c>
      <c r="IM13" s="1">
        <v>4243</v>
      </c>
      <c r="IN13" s="1">
        <v>6814</v>
      </c>
      <c r="IO13" s="1">
        <v>6380</v>
      </c>
      <c r="IP13" s="1">
        <v>8913</v>
      </c>
      <c r="IQ13" s="1">
        <v>8589</v>
      </c>
      <c r="IR13" s="1">
        <v>8966</v>
      </c>
      <c r="IS13" s="1">
        <v>8790</v>
      </c>
      <c r="IT13" s="1">
        <v>19452</v>
      </c>
      <c r="IU13" s="1">
        <v>16293</v>
      </c>
      <c r="IV13" s="1">
        <v>51265</v>
      </c>
      <c r="IW13">
        <v>27772</v>
      </c>
      <c r="IX13">
        <v>19177</v>
      </c>
      <c r="IY13">
        <v>5756</v>
      </c>
      <c r="IZ13">
        <v>17013</v>
      </c>
      <c r="JA13">
        <v>1043</v>
      </c>
      <c r="JB13">
        <v>1385404</v>
      </c>
      <c r="JC13">
        <v>82975</v>
      </c>
      <c r="JD13">
        <v>5753</v>
      </c>
      <c r="JE13">
        <v>9326</v>
      </c>
      <c r="JF13">
        <v>10524</v>
      </c>
      <c r="JG13">
        <v>6488</v>
      </c>
      <c r="JH13">
        <v>5183</v>
      </c>
      <c r="JI13">
        <v>3416</v>
      </c>
      <c r="JJ13">
        <v>19863</v>
      </c>
      <c r="JK13">
        <v>227</v>
      </c>
      <c r="JL13">
        <v>118582</v>
      </c>
      <c r="JM13">
        <v>21642</v>
      </c>
      <c r="JN13">
        <v>9531</v>
      </c>
      <c r="JO13">
        <v>13367</v>
      </c>
      <c r="JP13">
        <v>15678</v>
      </c>
      <c r="JQ13">
        <v>13658</v>
      </c>
      <c r="JR13">
        <v>9981</v>
      </c>
      <c r="JS13">
        <v>10485</v>
      </c>
      <c r="JT13">
        <v>2808</v>
      </c>
      <c r="JU13">
        <v>176</v>
      </c>
      <c r="JV13">
        <v>60896</v>
      </c>
      <c r="JW13">
        <v>79795</v>
      </c>
      <c r="JX13">
        <v>159090</v>
      </c>
      <c r="JY13">
        <v>219839</v>
      </c>
      <c r="JZ13">
        <v>519242</v>
      </c>
      <c r="KA13">
        <v>371169</v>
      </c>
      <c r="KB13">
        <v>191179</v>
      </c>
      <c r="KC13">
        <v>50312</v>
      </c>
      <c r="KD13">
        <v>93545</v>
      </c>
      <c r="KE13">
        <v>9244</v>
      </c>
      <c r="KF13">
        <v>6798</v>
      </c>
      <c r="KG13">
        <v>118639</v>
      </c>
      <c r="KH13">
        <v>215040</v>
      </c>
      <c r="KI13">
        <v>71601</v>
      </c>
      <c r="KJ13">
        <v>254595</v>
      </c>
      <c r="KK13">
        <v>81679</v>
      </c>
      <c r="KL13">
        <v>20035</v>
      </c>
      <c r="KM13">
        <v>50753</v>
      </c>
      <c r="KN13">
        <v>136119</v>
      </c>
      <c r="KO13">
        <v>50376</v>
      </c>
      <c r="KP13">
        <v>179185</v>
      </c>
      <c r="KQ13">
        <v>2220</v>
      </c>
      <c r="KR13">
        <v>82231</v>
      </c>
      <c r="KS13">
        <v>238620</v>
      </c>
      <c r="KT13">
        <v>305082</v>
      </c>
      <c r="KU13">
        <v>51287</v>
      </c>
      <c r="KV13">
        <v>126179</v>
      </c>
      <c r="KW13">
        <v>108354</v>
      </c>
      <c r="KX13">
        <v>112144</v>
      </c>
      <c r="KY13">
        <v>1437032</v>
      </c>
      <c r="KZ13">
        <v>103816</v>
      </c>
      <c r="LA13">
        <v>204344</v>
      </c>
      <c r="LB13">
        <v>184313</v>
      </c>
      <c r="LC13">
        <v>95049</v>
      </c>
      <c r="LD13">
        <v>60830</v>
      </c>
      <c r="LE13">
        <v>132384</v>
      </c>
      <c r="LF13">
        <v>2413</v>
      </c>
      <c r="LG13">
        <v>1485767</v>
      </c>
      <c r="LH13">
        <v>13517</v>
      </c>
      <c r="LI13">
        <v>98799</v>
      </c>
      <c r="LJ13">
        <v>11312</v>
      </c>
      <c r="LK13">
        <v>80872</v>
      </c>
      <c r="LL13">
        <v>7816</v>
      </c>
      <c r="LM13">
        <v>31112</v>
      </c>
      <c r="LN13">
        <v>1861</v>
      </c>
      <c r="LO13">
        <v>14011</v>
      </c>
      <c r="LP13">
        <v>2971.0437000000002</v>
      </c>
      <c r="LQ13">
        <v>1541.86355</v>
      </c>
    </row>
    <row r="14" spans="1:329" x14ac:dyDescent="0.25">
      <c r="A14" s="5" t="s">
        <v>336</v>
      </c>
      <c r="B14" s="5" t="s">
        <v>270</v>
      </c>
      <c r="C14" s="1">
        <v>2180293</v>
      </c>
      <c r="D14" s="1">
        <v>2449828</v>
      </c>
      <c r="E14" s="1">
        <v>2595666</v>
      </c>
      <c r="F14" s="1">
        <v>2716691</v>
      </c>
      <c r="G14" s="1">
        <v>2861928</v>
      </c>
      <c r="H14" s="1">
        <v>819117</v>
      </c>
      <c r="I14" s="1">
        <v>949912</v>
      </c>
      <c r="J14" s="1">
        <v>1042443</v>
      </c>
      <c r="K14" s="1">
        <v>1125348</v>
      </c>
      <c r="L14" s="1">
        <v>1170244</v>
      </c>
      <c r="M14" s="1">
        <v>1249359</v>
      </c>
      <c r="N14" s="1">
        <v>840554</v>
      </c>
      <c r="O14" s="1">
        <v>284794</v>
      </c>
      <c r="P14" s="1">
        <v>124011</v>
      </c>
      <c r="Q14" s="1">
        <v>161677</v>
      </c>
      <c r="R14" s="1">
        <v>76629</v>
      </c>
      <c r="S14" s="1">
        <v>802</v>
      </c>
      <c r="T14" s="1">
        <v>2213017</v>
      </c>
      <c r="U14" s="1">
        <v>473517</v>
      </c>
      <c r="V14" s="1">
        <v>30157</v>
      </c>
      <c r="W14" s="1">
        <v>1725</v>
      </c>
      <c r="X14" s="1">
        <v>769</v>
      </c>
      <c r="Y14" s="2">
        <v>46.2</v>
      </c>
      <c r="Z14" s="1">
        <v>127445</v>
      </c>
      <c r="AA14" s="1">
        <v>138513</v>
      </c>
      <c r="AB14" s="1">
        <v>153980</v>
      </c>
      <c r="AC14" s="1">
        <v>149532</v>
      </c>
      <c r="AD14" s="1">
        <v>130002</v>
      </c>
      <c r="AE14" s="1">
        <v>143028</v>
      </c>
      <c r="AF14" s="1">
        <v>141918</v>
      </c>
      <c r="AG14" s="1">
        <v>150512</v>
      </c>
      <c r="AH14" s="1">
        <v>148815</v>
      </c>
      <c r="AI14" s="1">
        <v>169554</v>
      </c>
      <c r="AJ14" s="1">
        <v>188629</v>
      </c>
      <c r="AK14" s="1">
        <v>224785</v>
      </c>
      <c r="AL14" s="1">
        <v>230952</v>
      </c>
      <c r="AM14" s="1">
        <v>208793</v>
      </c>
      <c r="AN14" s="1">
        <v>168242</v>
      </c>
      <c r="AO14" s="1">
        <v>110388</v>
      </c>
      <c r="AP14" s="1">
        <v>66583</v>
      </c>
      <c r="AQ14" s="1">
        <v>65019</v>
      </c>
      <c r="AR14" s="1">
        <v>1353791</v>
      </c>
      <c r="AS14" s="1">
        <v>1362900</v>
      </c>
      <c r="AT14" s="1">
        <v>2009443</v>
      </c>
      <c r="AU14" s="1">
        <v>69253</v>
      </c>
      <c r="AV14" s="1">
        <v>25962</v>
      </c>
      <c r="AW14" s="1">
        <v>72037</v>
      </c>
      <c r="AX14" s="1">
        <v>3714</v>
      </c>
      <c r="AY14" s="1">
        <v>2856</v>
      </c>
      <c r="AZ14" s="1">
        <v>70378</v>
      </c>
      <c r="BA14" s="1">
        <v>463275</v>
      </c>
      <c r="BB14" s="1">
        <v>2296751</v>
      </c>
      <c r="BC14" s="1">
        <v>587428</v>
      </c>
      <c r="BD14" s="1">
        <v>1197563</v>
      </c>
      <c r="BE14" s="1">
        <v>92104</v>
      </c>
      <c r="BF14" s="1">
        <v>140626</v>
      </c>
      <c r="BG14" s="1">
        <v>279030</v>
      </c>
      <c r="BH14" s="1">
        <v>2017218</v>
      </c>
      <c r="BI14" s="1">
        <v>69343</v>
      </c>
      <c r="BJ14" s="1">
        <v>109406</v>
      </c>
      <c r="BK14" s="1">
        <v>502185</v>
      </c>
      <c r="BL14" s="1">
        <v>500208</v>
      </c>
      <c r="BM14" s="1">
        <v>191058</v>
      </c>
      <c r="BN14" s="1">
        <v>401082</v>
      </c>
      <c r="BO14" s="1">
        <v>243936</v>
      </c>
      <c r="BP14" s="1">
        <v>2267270</v>
      </c>
      <c r="BQ14" s="1">
        <v>5210</v>
      </c>
      <c r="BR14" s="1">
        <v>1274802</v>
      </c>
      <c r="BS14" s="1">
        <v>42570</v>
      </c>
      <c r="BT14" s="1">
        <v>944688</v>
      </c>
      <c r="BU14" s="1">
        <v>747725</v>
      </c>
      <c r="BV14" s="1">
        <v>377623</v>
      </c>
      <c r="BW14" s="1">
        <v>202152</v>
      </c>
      <c r="BX14" s="1">
        <v>28686</v>
      </c>
      <c r="BY14" s="1">
        <v>55452</v>
      </c>
      <c r="BZ14" s="1">
        <v>397806</v>
      </c>
      <c r="CA14" s="1">
        <v>22038</v>
      </c>
      <c r="CB14" s="1">
        <v>41262</v>
      </c>
      <c r="CC14" s="2">
        <v>2.39</v>
      </c>
      <c r="CD14" s="1">
        <v>300620</v>
      </c>
      <c r="CE14" s="1">
        <v>452040</v>
      </c>
      <c r="CF14" s="1">
        <v>155459</v>
      </c>
      <c r="CG14" s="1">
        <v>122804</v>
      </c>
      <c r="CH14" s="1">
        <v>55956</v>
      </c>
      <c r="CI14" s="1">
        <v>22487</v>
      </c>
      <c r="CJ14" s="1">
        <v>15982</v>
      </c>
      <c r="CK14" s="2">
        <v>57.03</v>
      </c>
      <c r="CL14" s="1">
        <v>30066</v>
      </c>
      <c r="CM14" s="1">
        <v>116485</v>
      </c>
      <c r="CN14" s="1">
        <v>148940</v>
      </c>
      <c r="CO14" s="1">
        <v>189603</v>
      </c>
      <c r="CP14" s="1">
        <v>255636</v>
      </c>
      <c r="CQ14" s="1">
        <v>227084</v>
      </c>
      <c r="CR14" s="1">
        <v>114921</v>
      </c>
      <c r="CS14" s="1">
        <v>42612</v>
      </c>
      <c r="CT14" s="1">
        <v>40084</v>
      </c>
      <c r="CU14" s="1">
        <v>295572</v>
      </c>
      <c r="CV14" s="1">
        <v>789692</v>
      </c>
      <c r="CW14" s="1">
        <v>38897</v>
      </c>
      <c r="CX14" s="1">
        <v>71512</v>
      </c>
      <c r="CY14" s="1">
        <v>87132</v>
      </c>
      <c r="CZ14" s="1">
        <v>45543</v>
      </c>
      <c r="DA14" s="1">
        <v>37422</v>
      </c>
      <c r="DB14" s="1">
        <v>41840</v>
      </c>
      <c r="DC14" s="1">
        <v>46128</v>
      </c>
      <c r="DD14" s="1">
        <v>42133</v>
      </c>
      <c r="DE14" s="1">
        <v>42497</v>
      </c>
      <c r="DF14" s="1">
        <v>43547</v>
      </c>
      <c r="DG14" s="1">
        <v>45134</v>
      </c>
      <c r="DH14" s="1">
        <v>42718</v>
      </c>
      <c r="DI14" s="1">
        <v>84123</v>
      </c>
      <c r="DJ14" s="1">
        <v>119334</v>
      </c>
      <c r="DK14" s="1">
        <v>169206</v>
      </c>
      <c r="DL14" s="1">
        <v>100986</v>
      </c>
      <c r="DM14" s="1">
        <v>83848</v>
      </c>
      <c r="DN14" s="1">
        <v>92134</v>
      </c>
      <c r="DO14" s="1">
        <v>88756</v>
      </c>
      <c r="DP14" s="1">
        <v>46202</v>
      </c>
      <c r="DQ14" s="1">
        <v>68475</v>
      </c>
      <c r="DR14" s="1">
        <v>83968</v>
      </c>
      <c r="DS14" s="1">
        <v>90808</v>
      </c>
      <c r="DT14" s="1">
        <v>82422</v>
      </c>
      <c r="DU14" s="1">
        <v>63208</v>
      </c>
      <c r="DV14" s="1">
        <v>47006</v>
      </c>
      <c r="DW14" s="2">
        <v>67092.69</v>
      </c>
      <c r="DX14" s="2">
        <v>31685.06</v>
      </c>
      <c r="DY14" s="2">
        <v>2234.6999999999998</v>
      </c>
      <c r="DZ14" s="2">
        <v>482.93</v>
      </c>
      <c r="EA14" s="2">
        <v>2350.89</v>
      </c>
      <c r="EB14" s="2">
        <v>2005.45</v>
      </c>
      <c r="EC14" s="2">
        <v>3819.08</v>
      </c>
      <c r="ED14" s="2">
        <v>9836.9</v>
      </c>
      <c r="EE14" s="2">
        <v>5726.33</v>
      </c>
      <c r="EF14" s="2">
        <v>2373.17</v>
      </c>
      <c r="EG14" s="2">
        <v>14069.14</v>
      </c>
      <c r="EH14" s="2">
        <v>2648.46</v>
      </c>
      <c r="EI14" s="2">
        <v>1273.67</v>
      </c>
      <c r="EJ14" s="2">
        <v>900.73</v>
      </c>
      <c r="EK14" s="2">
        <v>148.04</v>
      </c>
      <c r="EL14" s="2">
        <v>396.96</v>
      </c>
      <c r="EM14" s="2">
        <v>12236.12</v>
      </c>
      <c r="EN14" s="2">
        <v>4923.4399999999996</v>
      </c>
      <c r="EO14" s="2">
        <v>1666.68</v>
      </c>
      <c r="EP14" s="1">
        <v>44250</v>
      </c>
      <c r="EQ14" s="1">
        <v>6401</v>
      </c>
      <c r="ER14" s="1">
        <v>628</v>
      </c>
      <c r="ES14" s="1">
        <v>12858</v>
      </c>
      <c r="ET14" s="1">
        <v>56104</v>
      </c>
      <c r="EU14" s="1">
        <v>84152</v>
      </c>
      <c r="EV14" s="1">
        <v>130465</v>
      </c>
      <c r="EW14" s="1">
        <v>6299</v>
      </c>
      <c r="EX14" s="1">
        <v>33073</v>
      </c>
      <c r="EY14" s="1">
        <v>6581</v>
      </c>
      <c r="EZ14" s="1">
        <v>380510</v>
      </c>
      <c r="FA14" s="1">
        <v>24605</v>
      </c>
      <c r="FB14" s="1">
        <v>361382</v>
      </c>
      <c r="FC14" s="1">
        <v>71261</v>
      </c>
      <c r="FD14" s="1">
        <v>41237</v>
      </c>
      <c r="FE14" s="1">
        <v>204917</v>
      </c>
      <c r="FF14" s="1">
        <v>6371</v>
      </c>
      <c r="FG14" s="1">
        <v>609798</v>
      </c>
      <c r="FH14" s="1">
        <v>136736</v>
      </c>
      <c r="FI14" s="1">
        <v>16412</v>
      </c>
      <c r="FJ14" s="1">
        <v>940</v>
      </c>
      <c r="FK14" s="1">
        <v>3033</v>
      </c>
      <c r="FL14" s="1">
        <v>14840</v>
      </c>
      <c r="FM14" s="1">
        <v>1561</v>
      </c>
      <c r="FN14" s="1">
        <v>131137</v>
      </c>
      <c r="FO14" s="1">
        <v>867726</v>
      </c>
      <c r="FP14" s="1">
        <v>74</v>
      </c>
      <c r="FQ14" s="1">
        <v>68</v>
      </c>
      <c r="FR14" s="1">
        <v>57</v>
      </c>
      <c r="FS14" s="1">
        <v>84</v>
      </c>
      <c r="FT14" s="1">
        <v>42</v>
      </c>
      <c r="FU14" s="1">
        <v>77</v>
      </c>
      <c r="FV14" s="1">
        <v>75</v>
      </c>
      <c r="FW14" s="1">
        <v>87</v>
      </c>
      <c r="FX14" s="1">
        <v>71</v>
      </c>
      <c r="FY14" s="1">
        <v>83</v>
      </c>
      <c r="FZ14" s="3">
        <v>1E-3</v>
      </c>
      <c r="GA14" s="3">
        <v>0.22600000000000001</v>
      </c>
      <c r="GB14" s="3">
        <v>0.48</v>
      </c>
      <c r="GC14" s="3">
        <v>-7.9000000000000001E-2</v>
      </c>
      <c r="GD14" s="3">
        <v>0.36799999999999999</v>
      </c>
      <c r="GE14" s="3">
        <v>0.23200000000000001</v>
      </c>
      <c r="GF14" s="3">
        <v>7.4999999999999997E-2</v>
      </c>
      <c r="GG14" s="3">
        <v>0.19600000000000001</v>
      </c>
      <c r="GH14" s="3">
        <v>0.40600000000000003</v>
      </c>
      <c r="GI14" s="3">
        <v>-6.6000000000000003E-2</v>
      </c>
      <c r="GJ14" s="3">
        <v>0.55000000000000004</v>
      </c>
      <c r="GK14" s="3">
        <v>0.20699999999999999</v>
      </c>
      <c r="GL14" s="3">
        <v>-0.32600000000000001</v>
      </c>
      <c r="GM14" s="3">
        <v>1.3089999999999999</v>
      </c>
      <c r="GN14" s="3">
        <v>-0.21199999999999999</v>
      </c>
      <c r="GO14" s="3">
        <v>3.3000000000000002E-2</v>
      </c>
      <c r="GP14" s="3">
        <v>-0.31</v>
      </c>
      <c r="GQ14" s="3">
        <v>5.6000000000000001E-2</v>
      </c>
      <c r="GR14" s="3">
        <v>-0.121</v>
      </c>
      <c r="GS14" s="3">
        <v>0.17499999999999999</v>
      </c>
      <c r="GT14" s="3">
        <v>7.1999999999999995E-2</v>
      </c>
      <c r="GU14" s="3">
        <v>-0.28299999999999997</v>
      </c>
      <c r="GV14" s="3">
        <v>0.253</v>
      </c>
      <c r="GW14" s="3">
        <v>0.38200000000000001</v>
      </c>
      <c r="GX14" s="3">
        <v>-0.20399999999999999</v>
      </c>
      <c r="GY14" s="3">
        <v>-5.0000000000000001E-3</v>
      </c>
      <c r="GZ14" s="4">
        <v>93</v>
      </c>
      <c r="HA14" s="4">
        <v>90</v>
      </c>
      <c r="HB14" s="4">
        <v>90</v>
      </c>
      <c r="HC14" s="4">
        <v>101</v>
      </c>
      <c r="HD14" s="4">
        <v>64</v>
      </c>
      <c r="HE14" s="4">
        <v>134</v>
      </c>
      <c r="HF14" s="1">
        <v>8304</v>
      </c>
      <c r="HG14" s="1">
        <v>5590</v>
      </c>
      <c r="HH14" s="1">
        <v>4860</v>
      </c>
      <c r="HI14" s="1">
        <v>5186</v>
      </c>
      <c r="HJ14" s="1">
        <v>3837</v>
      </c>
      <c r="HK14" s="1">
        <v>4106</v>
      </c>
      <c r="HL14" s="1">
        <v>2803</v>
      </c>
      <c r="HM14" s="1">
        <v>6912</v>
      </c>
      <c r="HN14" s="1">
        <v>8415</v>
      </c>
      <c r="HO14" s="1">
        <v>8678</v>
      </c>
      <c r="HP14" s="1">
        <v>10733</v>
      </c>
      <c r="HQ14" s="1">
        <v>12813</v>
      </c>
      <c r="HR14" s="1">
        <v>11568</v>
      </c>
      <c r="HS14" s="1">
        <v>37513</v>
      </c>
      <c r="HT14" s="1">
        <v>32106</v>
      </c>
      <c r="HU14" s="1">
        <v>49088</v>
      </c>
      <c r="HV14" s="1">
        <v>36455</v>
      </c>
      <c r="HW14" s="1">
        <v>81019</v>
      </c>
      <c r="HX14" s="1">
        <v>70734</v>
      </c>
      <c r="HY14" s="1">
        <v>121290</v>
      </c>
      <c r="HZ14" s="1">
        <v>74351</v>
      </c>
      <c r="IA14" s="1">
        <v>102265</v>
      </c>
      <c r="IB14" s="1">
        <v>42048</v>
      </c>
      <c r="IC14" s="1">
        <v>37728</v>
      </c>
      <c r="ID14" s="1">
        <v>291857</v>
      </c>
      <c r="IE14" s="1">
        <v>1362</v>
      </c>
      <c r="IF14" s="1">
        <v>1814</v>
      </c>
      <c r="IG14" s="1">
        <v>2354</v>
      </c>
      <c r="IH14" s="1">
        <v>3637</v>
      </c>
      <c r="II14" s="1">
        <v>2773</v>
      </c>
      <c r="IJ14" s="1">
        <v>4722</v>
      </c>
      <c r="IK14" s="1">
        <v>5223</v>
      </c>
      <c r="IL14" s="1">
        <v>7862</v>
      </c>
      <c r="IM14" s="1">
        <v>6967</v>
      </c>
      <c r="IN14" s="1">
        <v>12383</v>
      </c>
      <c r="IO14" s="1">
        <v>9176</v>
      </c>
      <c r="IP14" s="1">
        <v>12929</v>
      </c>
      <c r="IQ14" s="1">
        <v>11616</v>
      </c>
      <c r="IR14" s="1">
        <v>12534</v>
      </c>
      <c r="IS14" s="1">
        <v>12281</v>
      </c>
      <c r="IT14" s="1">
        <v>25662</v>
      </c>
      <c r="IU14" s="1">
        <v>18381</v>
      </c>
      <c r="IV14" s="1">
        <v>39362</v>
      </c>
      <c r="IW14">
        <v>21542</v>
      </c>
      <c r="IX14">
        <v>22334</v>
      </c>
      <c r="IY14">
        <v>8712</v>
      </c>
      <c r="IZ14">
        <v>26063</v>
      </c>
      <c r="JA14">
        <v>877</v>
      </c>
      <c r="JB14">
        <v>656053</v>
      </c>
      <c r="JC14">
        <v>19297</v>
      </c>
      <c r="JD14">
        <v>3642</v>
      </c>
      <c r="JE14">
        <v>2438</v>
      </c>
      <c r="JF14">
        <v>2108</v>
      </c>
      <c r="JG14">
        <v>1476</v>
      </c>
      <c r="JH14">
        <v>1572</v>
      </c>
      <c r="JI14">
        <v>1545</v>
      </c>
      <c r="JJ14">
        <v>69978</v>
      </c>
      <c r="JK14">
        <v>2373</v>
      </c>
      <c r="JL14">
        <v>146870</v>
      </c>
      <c r="JM14">
        <v>12714</v>
      </c>
      <c r="JN14">
        <v>13589</v>
      </c>
      <c r="JO14">
        <v>15399</v>
      </c>
      <c r="JP14">
        <v>13470</v>
      </c>
      <c r="JQ14">
        <v>8882</v>
      </c>
      <c r="JR14">
        <v>8584</v>
      </c>
      <c r="JS14">
        <v>8231</v>
      </c>
      <c r="JT14">
        <v>30738</v>
      </c>
      <c r="JU14">
        <v>1106</v>
      </c>
      <c r="JV14">
        <v>56262</v>
      </c>
      <c r="JW14">
        <v>71852</v>
      </c>
      <c r="JX14">
        <v>145706</v>
      </c>
      <c r="JY14">
        <v>173608</v>
      </c>
      <c r="JZ14">
        <v>209794</v>
      </c>
      <c r="KA14">
        <v>115163</v>
      </c>
      <c r="KB14">
        <v>100697</v>
      </c>
      <c r="KC14">
        <v>51422</v>
      </c>
      <c r="KD14">
        <v>95561</v>
      </c>
      <c r="KE14">
        <v>50304</v>
      </c>
      <c r="KF14">
        <v>3062</v>
      </c>
      <c r="KG14">
        <v>98611</v>
      </c>
      <c r="KH14">
        <v>84835</v>
      </c>
      <c r="KI14">
        <v>29996</v>
      </c>
      <c r="KJ14">
        <v>122974</v>
      </c>
      <c r="KK14">
        <v>36770</v>
      </c>
      <c r="KL14">
        <v>13354</v>
      </c>
      <c r="KM14">
        <v>20869</v>
      </c>
      <c r="KN14">
        <v>36346</v>
      </c>
      <c r="KO14">
        <v>29122</v>
      </c>
      <c r="KP14">
        <v>73090</v>
      </c>
      <c r="KQ14">
        <v>387</v>
      </c>
      <c r="KR14">
        <v>45701</v>
      </c>
      <c r="KS14">
        <v>100364</v>
      </c>
      <c r="KT14">
        <v>140467</v>
      </c>
      <c r="KU14">
        <v>35524</v>
      </c>
      <c r="KV14">
        <v>72170</v>
      </c>
      <c r="KW14">
        <v>60729</v>
      </c>
      <c r="KX14">
        <v>64740</v>
      </c>
      <c r="KY14">
        <v>615424</v>
      </c>
      <c r="KZ14">
        <v>75170</v>
      </c>
      <c r="LA14">
        <v>83184</v>
      </c>
      <c r="LB14">
        <v>104843</v>
      </c>
      <c r="LC14">
        <v>54789</v>
      </c>
      <c r="LD14">
        <v>26852</v>
      </c>
      <c r="LE14">
        <v>155690</v>
      </c>
      <c r="LF14">
        <v>3463</v>
      </c>
      <c r="LG14">
        <v>871349</v>
      </c>
      <c r="LH14">
        <v>15418</v>
      </c>
      <c r="LI14">
        <v>74092</v>
      </c>
      <c r="LJ14">
        <v>3167</v>
      </c>
      <c r="LK14">
        <v>33342</v>
      </c>
      <c r="LL14">
        <v>3431</v>
      </c>
      <c r="LM14">
        <v>14563</v>
      </c>
      <c r="LN14">
        <v>611</v>
      </c>
      <c r="LO14">
        <v>4092</v>
      </c>
      <c r="LP14">
        <v>83667.4375</v>
      </c>
      <c r="LQ14">
        <v>31.12556</v>
      </c>
    </row>
    <row r="15" spans="1:329" x14ac:dyDescent="0.25">
      <c r="A15" s="5" t="s">
        <v>337</v>
      </c>
      <c r="B15" s="5" t="s">
        <v>271</v>
      </c>
      <c r="C15" s="1">
        <v>2423462</v>
      </c>
      <c r="D15" s="1">
        <v>2969743</v>
      </c>
      <c r="E15" s="1">
        <v>3098259</v>
      </c>
      <c r="F15" s="1">
        <v>3334536</v>
      </c>
      <c r="G15" s="1">
        <v>3546472</v>
      </c>
      <c r="H15" s="1">
        <v>1012198</v>
      </c>
      <c r="I15" s="1">
        <v>1301502</v>
      </c>
      <c r="J15" s="1">
        <v>1413191</v>
      </c>
      <c r="K15" s="1">
        <v>1609880</v>
      </c>
      <c r="L15" s="1">
        <v>1680196</v>
      </c>
      <c r="M15" s="1">
        <v>3377075</v>
      </c>
      <c r="N15" s="1">
        <v>1252844</v>
      </c>
      <c r="O15" s="1">
        <v>357035</v>
      </c>
      <c r="P15" s="1">
        <v>1767196</v>
      </c>
      <c r="Q15" s="1">
        <v>2031135</v>
      </c>
      <c r="R15" s="1">
        <v>1761654</v>
      </c>
      <c r="S15" s="1">
        <v>1083</v>
      </c>
      <c r="T15" s="1">
        <v>2540162</v>
      </c>
      <c r="U15" s="1">
        <v>758183</v>
      </c>
      <c r="V15" s="1">
        <v>36191</v>
      </c>
      <c r="W15" s="1">
        <v>2458</v>
      </c>
      <c r="X15" s="1">
        <v>691</v>
      </c>
      <c r="Y15" s="2">
        <v>53.29</v>
      </c>
      <c r="Z15" s="1">
        <v>125483</v>
      </c>
      <c r="AA15" s="1">
        <v>133552</v>
      </c>
      <c r="AB15" s="1">
        <v>147789</v>
      </c>
      <c r="AC15" s="1">
        <v>144790</v>
      </c>
      <c r="AD15" s="1">
        <v>138258</v>
      </c>
      <c r="AE15" s="1">
        <v>153137</v>
      </c>
      <c r="AF15" s="1">
        <v>145958</v>
      </c>
      <c r="AG15" s="1">
        <v>153119</v>
      </c>
      <c r="AH15" s="1">
        <v>153555</v>
      </c>
      <c r="AI15" s="1">
        <v>183628</v>
      </c>
      <c r="AJ15" s="1">
        <v>219081</v>
      </c>
      <c r="AK15" s="1">
        <v>286270</v>
      </c>
      <c r="AL15" s="1">
        <v>329016</v>
      </c>
      <c r="AM15" s="1">
        <v>330261</v>
      </c>
      <c r="AN15" s="1">
        <v>284042</v>
      </c>
      <c r="AO15" s="1">
        <v>193587</v>
      </c>
      <c r="AP15" s="1">
        <v>115228</v>
      </c>
      <c r="AQ15" s="1">
        <v>97781</v>
      </c>
      <c r="AR15" s="1">
        <v>1671829</v>
      </c>
      <c r="AS15" s="1">
        <v>1662707</v>
      </c>
      <c r="AT15" s="1">
        <v>2842880</v>
      </c>
      <c r="AU15" s="1">
        <v>90851</v>
      </c>
      <c r="AV15" s="1">
        <v>21795</v>
      </c>
      <c r="AW15" s="1">
        <v>48771</v>
      </c>
      <c r="AX15" s="1">
        <v>2463</v>
      </c>
      <c r="AY15" s="1">
        <v>3968</v>
      </c>
      <c r="AZ15" s="1">
        <v>59545</v>
      </c>
      <c r="BA15" s="1">
        <v>264541</v>
      </c>
      <c r="BB15" s="1">
        <v>2927708</v>
      </c>
      <c r="BC15" s="1">
        <v>624608</v>
      </c>
      <c r="BD15" s="1">
        <v>1616857</v>
      </c>
      <c r="BE15" s="1">
        <v>110363</v>
      </c>
      <c r="BF15" s="1">
        <v>220299</v>
      </c>
      <c r="BG15" s="1">
        <v>355581</v>
      </c>
      <c r="BH15" s="1">
        <v>2644661</v>
      </c>
      <c r="BI15" s="1">
        <v>63308</v>
      </c>
      <c r="BJ15" s="1">
        <v>135868</v>
      </c>
      <c r="BK15" s="1">
        <v>728913</v>
      </c>
      <c r="BL15" s="1">
        <v>562661</v>
      </c>
      <c r="BM15" s="1">
        <v>234208</v>
      </c>
      <c r="BN15" s="1">
        <v>554431</v>
      </c>
      <c r="BO15" s="1">
        <v>365272</v>
      </c>
      <c r="BP15" s="1">
        <v>2898797</v>
      </c>
      <c r="BQ15" s="1">
        <v>3789</v>
      </c>
      <c r="BR15" s="1">
        <v>1429507</v>
      </c>
      <c r="BS15" s="1">
        <v>48786</v>
      </c>
      <c r="BT15" s="1">
        <v>1416715</v>
      </c>
      <c r="BU15" s="1">
        <v>968166</v>
      </c>
      <c r="BV15" s="1">
        <v>641714</v>
      </c>
      <c r="BW15" s="1">
        <v>197320</v>
      </c>
      <c r="BX15" s="1">
        <v>30002</v>
      </c>
      <c r="BY15" s="1">
        <v>58639</v>
      </c>
      <c r="BZ15" s="1">
        <v>612669</v>
      </c>
      <c r="CA15" s="1">
        <v>24350</v>
      </c>
      <c r="CB15" s="1">
        <v>44334</v>
      </c>
      <c r="CC15" s="2">
        <v>2.0499999999999998</v>
      </c>
      <c r="CD15" s="1">
        <v>540414</v>
      </c>
      <c r="CE15" s="1">
        <v>725258</v>
      </c>
      <c r="CF15" s="1">
        <v>158025</v>
      </c>
      <c r="CG15" s="1">
        <v>111940</v>
      </c>
      <c r="CH15" s="1">
        <v>47218</v>
      </c>
      <c r="CI15" s="1">
        <v>16910</v>
      </c>
      <c r="CJ15" s="1">
        <v>10116</v>
      </c>
      <c r="CK15" s="2">
        <v>60.4</v>
      </c>
      <c r="CL15" s="1">
        <v>36221</v>
      </c>
      <c r="CM15" s="1">
        <v>134635</v>
      </c>
      <c r="CN15" s="1">
        <v>167081</v>
      </c>
      <c r="CO15" s="1">
        <v>231856</v>
      </c>
      <c r="CP15" s="1">
        <v>367287</v>
      </c>
      <c r="CQ15" s="1">
        <v>388248</v>
      </c>
      <c r="CR15" s="1">
        <v>213776</v>
      </c>
      <c r="CS15" s="1">
        <v>70775</v>
      </c>
      <c r="CT15" s="1">
        <v>67839</v>
      </c>
      <c r="CU15" s="1">
        <v>558982</v>
      </c>
      <c r="CV15" s="1">
        <v>983060</v>
      </c>
      <c r="CW15" s="1">
        <v>41024</v>
      </c>
      <c r="CX15" s="1">
        <v>63346</v>
      </c>
      <c r="CY15" s="1">
        <v>79468</v>
      </c>
      <c r="CZ15" s="1">
        <v>77224</v>
      </c>
      <c r="DA15" s="1">
        <v>59006</v>
      </c>
      <c r="DB15" s="1">
        <v>67109</v>
      </c>
      <c r="DC15" s="1">
        <v>75757</v>
      </c>
      <c r="DD15" s="1">
        <v>71076</v>
      </c>
      <c r="DE15" s="1">
        <v>70526</v>
      </c>
      <c r="DF15" s="1">
        <v>71426</v>
      </c>
      <c r="DG15" s="1">
        <v>73645</v>
      </c>
      <c r="DH15" s="1">
        <v>68848</v>
      </c>
      <c r="DI15" s="1">
        <v>131743</v>
      </c>
      <c r="DJ15" s="1">
        <v>172899</v>
      </c>
      <c r="DK15" s="1">
        <v>223991</v>
      </c>
      <c r="DL15" s="1">
        <v>123538</v>
      </c>
      <c r="DM15" s="1">
        <v>98907</v>
      </c>
      <c r="DN15" s="1">
        <v>102651</v>
      </c>
      <c r="DO15" s="1">
        <v>121536</v>
      </c>
      <c r="DP15" s="1">
        <v>42767</v>
      </c>
      <c r="DQ15" s="1">
        <v>62544</v>
      </c>
      <c r="DR15" s="1">
        <v>73221</v>
      </c>
      <c r="DS15" s="1">
        <v>81267</v>
      </c>
      <c r="DT15" s="1">
        <v>75379</v>
      </c>
      <c r="DU15" s="1">
        <v>58528</v>
      </c>
      <c r="DV15" s="1">
        <v>44453</v>
      </c>
      <c r="DW15" s="2">
        <v>62157.19</v>
      </c>
      <c r="DX15" s="2">
        <v>29290.6</v>
      </c>
      <c r="DY15" s="2">
        <v>2098.14</v>
      </c>
      <c r="DZ15" s="2">
        <v>446.09</v>
      </c>
      <c r="EA15" s="2">
        <v>2156.1</v>
      </c>
      <c r="EB15" s="2">
        <v>1831.21</v>
      </c>
      <c r="EC15" s="2">
        <v>3525.36</v>
      </c>
      <c r="ED15" s="2">
        <v>9091.59</v>
      </c>
      <c r="EE15" s="2">
        <v>5378.37</v>
      </c>
      <c r="EF15" s="2">
        <v>2193.41</v>
      </c>
      <c r="EG15" s="2">
        <v>13013.99</v>
      </c>
      <c r="EH15" s="2">
        <v>2466.67</v>
      </c>
      <c r="EI15" s="2">
        <v>1186.0899999999999</v>
      </c>
      <c r="EJ15" s="2">
        <v>834.85</v>
      </c>
      <c r="EK15" s="2">
        <v>139.19</v>
      </c>
      <c r="EL15" s="2">
        <v>372.99</v>
      </c>
      <c r="EM15" s="2">
        <v>11264.67</v>
      </c>
      <c r="EN15" s="2">
        <v>4598.4799999999996</v>
      </c>
      <c r="EO15" s="2">
        <v>1559.99</v>
      </c>
      <c r="EP15" s="1">
        <v>41328</v>
      </c>
      <c r="EQ15" s="1">
        <v>5053</v>
      </c>
      <c r="ER15" s="1">
        <v>928</v>
      </c>
      <c r="ES15" s="1">
        <v>9655</v>
      </c>
      <c r="ET15" s="1">
        <v>48879</v>
      </c>
      <c r="EU15" s="1">
        <v>81427</v>
      </c>
      <c r="EV15" s="1">
        <v>125047</v>
      </c>
      <c r="EW15" s="1">
        <v>7335</v>
      </c>
      <c r="EX15" s="1">
        <v>26664</v>
      </c>
      <c r="EY15" s="1">
        <v>4238</v>
      </c>
      <c r="EZ15" s="1">
        <v>349268</v>
      </c>
      <c r="FA15" s="1">
        <v>21864</v>
      </c>
      <c r="FB15" s="1">
        <v>315130</v>
      </c>
      <c r="FC15" s="1">
        <v>52151</v>
      </c>
      <c r="FD15" s="1">
        <v>27700</v>
      </c>
      <c r="FE15" s="1">
        <v>149883</v>
      </c>
      <c r="FF15" s="1">
        <v>5476</v>
      </c>
      <c r="FG15" s="1">
        <v>458532</v>
      </c>
      <c r="FH15" s="1">
        <v>112784</v>
      </c>
      <c r="FI15" s="1">
        <v>15381</v>
      </c>
      <c r="FJ15" s="1">
        <v>1039</v>
      </c>
      <c r="FK15" s="1">
        <v>2592</v>
      </c>
      <c r="FL15" s="1">
        <v>9495</v>
      </c>
      <c r="FM15" s="1">
        <v>1452</v>
      </c>
      <c r="FN15" s="1">
        <v>99467</v>
      </c>
      <c r="FO15" s="1">
        <v>710687</v>
      </c>
      <c r="FP15" s="1">
        <v>119</v>
      </c>
      <c r="FQ15" s="1">
        <v>74</v>
      </c>
      <c r="FR15" s="1">
        <v>66</v>
      </c>
      <c r="FS15" s="1">
        <v>114</v>
      </c>
      <c r="FT15" s="1">
        <v>42</v>
      </c>
      <c r="FU15" s="1">
        <v>82</v>
      </c>
      <c r="FV15" s="1">
        <v>126</v>
      </c>
      <c r="FW15" s="1">
        <v>137</v>
      </c>
      <c r="FX15" s="1">
        <v>130</v>
      </c>
      <c r="FY15" s="1">
        <v>62</v>
      </c>
      <c r="FZ15" s="3">
        <v>0.05</v>
      </c>
      <c r="GA15" s="3">
        <v>-7.1999999999999995E-2</v>
      </c>
      <c r="GB15" s="3">
        <v>0.99299999999999999</v>
      </c>
      <c r="GC15" s="3">
        <v>-7.2999999999999995E-2</v>
      </c>
      <c r="GD15" s="3">
        <v>0.40600000000000003</v>
      </c>
      <c r="GE15" s="3">
        <v>0.29899999999999999</v>
      </c>
      <c r="GF15" s="3">
        <v>-1.2999999999999999E-2</v>
      </c>
      <c r="GG15" s="3">
        <v>-2.3E-2</v>
      </c>
      <c r="GH15" s="3">
        <v>0.254</v>
      </c>
      <c r="GI15" s="3">
        <v>0.111</v>
      </c>
      <c r="GJ15" s="3">
        <v>7.3999999999999996E-2</v>
      </c>
      <c r="GK15" s="3">
        <v>4.8010000000000002</v>
      </c>
      <c r="GL15" s="3">
        <v>0.222</v>
      </c>
      <c r="GM15" s="3">
        <v>0.378</v>
      </c>
      <c r="GN15" s="3">
        <v>-0.124</v>
      </c>
      <c r="GO15" s="3">
        <v>-0.02</v>
      </c>
      <c r="GP15" s="3">
        <v>-0.24399999999999999</v>
      </c>
      <c r="GQ15" s="3">
        <v>0.17</v>
      </c>
      <c r="GR15" s="3">
        <v>-0.106</v>
      </c>
      <c r="GS15" s="3">
        <v>-7.5999999999999998E-2</v>
      </c>
      <c r="GT15" s="3">
        <v>-4.5999999999999999E-2</v>
      </c>
      <c r="GU15" s="3">
        <v>-0.16800000000000001</v>
      </c>
      <c r="GV15" s="3">
        <v>-8.4000000000000005E-2</v>
      </c>
      <c r="GW15" s="3">
        <v>0.13100000000000001</v>
      </c>
      <c r="GX15" s="3">
        <v>0.121</v>
      </c>
      <c r="GY15" s="3">
        <v>6.7000000000000004E-2</v>
      </c>
      <c r="GZ15" s="4">
        <v>85</v>
      </c>
      <c r="HA15" s="4">
        <v>89</v>
      </c>
      <c r="HB15" s="4">
        <v>74</v>
      </c>
      <c r="HC15" s="4">
        <v>109</v>
      </c>
      <c r="HD15" s="4">
        <v>58</v>
      </c>
      <c r="HE15" s="4">
        <v>80</v>
      </c>
      <c r="HF15" s="1">
        <v>13721</v>
      </c>
      <c r="HG15" s="1">
        <v>10380</v>
      </c>
      <c r="HH15" s="1">
        <v>9838</v>
      </c>
      <c r="HI15" s="1">
        <v>10329</v>
      </c>
      <c r="HJ15" s="1">
        <v>9255</v>
      </c>
      <c r="HK15" s="1">
        <v>11159</v>
      </c>
      <c r="HL15" s="1">
        <v>7729</v>
      </c>
      <c r="HM15" s="1">
        <v>19901</v>
      </c>
      <c r="HN15" s="1">
        <v>24051</v>
      </c>
      <c r="HO15" s="1">
        <v>24990</v>
      </c>
      <c r="HP15" s="1">
        <v>30094</v>
      </c>
      <c r="HQ15" s="1">
        <v>35139</v>
      </c>
      <c r="HR15" s="1">
        <v>27961</v>
      </c>
      <c r="HS15" s="1">
        <v>78019</v>
      </c>
      <c r="HT15" s="1">
        <v>61893</v>
      </c>
      <c r="HU15" s="1">
        <v>86453</v>
      </c>
      <c r="HV15" s="1">
        <v>57397</v>
      </c>
      <c r="HW15" s="1">
        <v>111451</v>
      </c>
      <c r="HX15" s="1">
        <v>91696</v>
      </c>
      <c r="HY15" s="1">
        <v>126664</v>
      </c>
      <c r="HZ15" s="1">
        <v>73929</v>
      </c>
      <c r="IA15" s="1">
        <v>95849</v>
      </c>
      <c r="IB15" s="1">
        <v>43123</v>
      </c>
      <c r="IC15" s="1">
        <v>56060</v>
      </c>
      <c r="ID15" s="1">
        <v>218048</v>
      </c>
      <c r="IE15" s="1">
        <v>2394</v>
      </c>
      <c r="IF15" s="1">
        <v>2947</v>
      </c>
      <c r="IG15" s="1">
        <v>3525</v>
      </c>
      <c r="IH15" s="1">
        <v>5295</v>
      </c>
      <c r="II15" s="1">
        <v>5310</v>
      </c>
      <c r="IJ15" s="1">
        <v>7773</v>
      </c>
      <c r="IK15" s="1">
        <v>9083</v>
      </c>
      <c r="IL15" s="1">
        <v>12044</v>
      </c>
      <c r="IM15" s="1">
        <v>10507</v>
      </c>
      <c r="IN15" s="1">
        <v>16442</v>
      </c>
      <c r="IO15" s="1">
        <v>11238</v>
      </c>
      <c r="IP15" s="1">
        <v>14695</v>
      </c>
      <c r="IQ15" s="1">
        <v>12866</v>
      </c>
      <c r="IR15" s="1">
        <v>12941</v>
      </c>
      <c r="IS15" s="1">
        <v>12408</v>
      </c>
      <c r="IT15" s="1">
        <v>25721</v>
      </c>
      <c r="IU15" s="1">
        <v>18401</v>
      </c>
      <c r="IV15" s="1">
        <v>34600</v>
      </c>
      <c r="IW15">
        <v>14232</v>
      </c>
      <c r="IX15">
        <v>12813</v>
      </c>
      <c r="IY15">
        <v>9451</v>
      </c>
      <c r="IZ15">
        <v>30465</v>
      </c>
      <c r="JA15">
        <v>782</v>
      </c>
      <c r="JB15">
        <v>734887</v>
      </c>
      <c r="JC15">
        <v>35253</v>
      </c>
      <c r="JD15">
        <v>9959</v>
      </c>
      <c r="JE15">
        <v>10418</v>
      </c>
      <c r="JF15">
        <v>12330</v>
      </c>
      <c r="JG15">
        <v>11437</v>
      </c>
      <c r="JH15">
        <v>16023</v>
      </c>
      <c r="JI15">
        <v>31018</v>
      </c>
      <c r="JJ15">
        <v>75830</v>
      </c>
      <c r="JK15">
        <v>4101</v>
      </c>
      <c r="JL15">
        <v>111092</v>
      </c>
      <c r="JM15">
        <v>12739</v>
      </c>
      <c r="JN15">
        <v>19753</v>
      </c>
      <c r="JO15">
        <v>21132</v>
      </c>
      <c r="JP15">
        <v>20511</v>
      </c>
      <c r="JQ15">
        <v>15502</v>
      </c>
      <c r="JR15">
        <v>13002</v>
      </c>
      <c r="JS15">
        <v>14033</v>
      </c>
      <c r="JT15">
        <v>21032</v>
      </c>
      <c r="JU15">
        <v>703</v>
      </c>
      <c r="JV15">
        <v>72602</v>
      </c>
      <c r="JW15">
        <v>101596</v>
      </c>
      <c r="JX15">
        <v>203300</v>
      </c>
      <c r="JY15">
        <v>204377</v>
      </c>
      <c r="JZ15">
        <v>208287</v>
      </c>
      <c r="KA15">
        <v>117045</v>
      </c>
      <c r="KB15">
        <v>99567</v>
      </c>
      <c r="KC15">
        <v>49132</v>
      </c>
      <c r="KD15">
        <v>134849</v>
      </c>
      <c r="KE15">
        <v>25214</v>
      </c>
      <c r="KF15">
        <v>4950</v>
      </c>
      <c r="KG15">
        <v>92360</v>
      </c>
      <c r="KH15">
        <v>78730</v>
      </c>
      <c r="KI15">
        <v>23500</v>
      </c>
      <c r="KJ15">
        <v>128726</v>
      </c>
      <c r="KK15">
        <v>33953</v>
      </c>
      <c r="KL15">
        <v>10244</v>
      </c>
      <c r="KM15">
        <v>17301</v>
      </c>
      <c r="KN15">
        <v>39664</v>
      </c>
      <c r="KO15">
        <v>38707</v>
      </c>
      <c r="KP15">
        <v>63533</v>
      </c>
      <c r="KQ15">
        <v>846</v>
      </c>
      <c r="KR15">
        <v>42040</v>
      </c>
      <c r="KS15">
        <v>90304</v>
      </c>
      <c r="KT15">
        <v>124188</v>
      </c>
      <c r="KU15">
        <v>43652</v>
      </c>
      <c r="KV15">
        <v>109245</v>
      </c>
      <c r="KW15">
        <v>50324</v>
      </c>
      <c r="KX15">
        <v>50941</v>
      </c>
      <c r="KY15">
        <v>623463</v>
      </c>
      <c r="KZ15">
        <v>79557</v>
      </c>
      <c r="LA15">
        <v>83753</v>
      </c>
      <c r="LB15">
        <v>89499</v>
      </c>
      <c r="LC15">
        <v>43787</v>
      </c>
      <c r="LD15">
        <v>24583</v>
      </c>
      <c r="LE15">
        <v>120832</v>
      </c>
      <c r="LF15">
        <v>2948</v>
      </c>
      <c r="LG15">
        <v>1073676</v>
      </c>
      <c r="LH15">
        <v>9456</v>
      </c>
      <c r="LI15">
        <v>44697</v>
      </c>
      <c r="LJ15">
        <v>5412</v>
      </c>
      <c r="LK15">
        <v>41905</v>
      </c>
      <c r="LL15">
        <v>1999</v>
      </c>
      <c r="LM15">
        <v>7915</v>
      </c>
      <c r="LN15">
        <v>892</v>
      </c>
      <c r="LO15">
        <v>4803</v>
      </c>
      <c r="LP15">
        <v>278017.25</v>
      </c>
      <c r="LQ15">
        <v>10.20698</v>
      </c>
    </row>
    <row r="16" spans="1:329" x14ac:dyDescent="0.25">
      <c r="A16" s="5" t="s">
        <v>338</v>
      </c>
      <c r="B16" s="5" t="s">
        <v>272</v>
      </c>
      <c r="C16" s="1">
        <v>2393933</v>
      </c>
      <c r="D16" s="1">
        <v>2820593</v>
      </c>
      <c r="E16" s="1">
        <v>3021483</v>
      </c>
      <c r="F16" s="1">
        <v>3212364</v>
      </c>
      <c r="G16" s="1">
        <v>3315683</v>
      </c>
      <c r="H16" s="1">
        <v>1010707</v>
      </c>
      <c r="I16" s="1">
        <v>1261310</v>
      </c>
      <c r="J16" s="1">
        <v>1448210</v>
      </c>
      <c r="K16" s="1">
        <v>1591829</v>
      </c>
      <c r="L16" s="1">
        <v>1642040</v>
      </c>
      <c r="M16" s="1">
        <v>1693442</v>
      </c>
      <c r="N16" s="1">
        <v>988015</v>
      </c>
      <c r="O16" s="1">
        <v>603814</v>
      </c>
      <c r="P16" s="1">
        <v>101613</v>
      </c>
      <c r="Q16" s="1">
        <v>172401</v>
      </c>
      <c r="R16" s="1">
        <v>51857</v>
      </c>
      <c r="S16" s="1">
        <v>82</v>
      </c>
      <c r="T16" s="1">
        <v>2194004</v>
      </c>
      <c r="U16" s="1">
        <v>909529</v>
      </c>
      <c r="V16" s="1">
        <v>108831</v>
      </c>
      <c r="W16" s="1">
        <v>3988</v>
      </c>
      <c r="X16" s="1">
        <v>18</v>
      </c>
      <c r="Y16" s="2">
        <v>51.5</v>
      </c>
      <c r="Z16" s="1">
        <v>129625</v>
      </c>
      <c r="AA16" s="1">
        <v>132968</v>
      </c>
      <c r="AB16" s="1">
        <v>142583</v>
      </c>
      <c r="AC16" s="1">
        <v>139435</v>
      </c>
      <c r="AD16" s="1">
        <v>142940</v>
      </c>
      <c r="AE16" s="1">
        <v>172806</v>
      </c>
      <c r="AF16" s="1">
        <v>166906</v>
      </c>
      <c r="AG16" s="1">
        <v>163104</v>
      </c>
      <c r="AH16" s="1">
        <v>152819</v>
      </c>
      <c r="AI16" s="1">
        <v>169579</v>
      </c>
      <c r="AJ16" s="1">
        <v>186616</v>
      </c>
      <c r="AK16" s="1">
        <v>223816</v>
      </c>
      <c r="AL16" s="1">
        <v>238485</v>
      </c>
      <c r="AM16" s="1">
        <v>229785</v>
      </c>
      <c r="AN16" s="1">
        <v>214425</v>
      </c>
      <c r="AO16" s="1">
        <v>184005</v>
      </c>
      <c r="AP16" s="1">
        <v>161611</v>
      </c>
      <c r="AQ16" s="1">
        <v>260861</v>
      </c>
      <c r="AR16" s="1">
        <v>1450102</v>
      </c>
      <c r="AS16" s="1">
        <v>1762263</v>
      </c>
      <c r="AT16" s="1">
        <v>2475552</v>
      </c>
      <c r="AU16" s="1">
        <v>204583</v>
      </c>
      <c r="AV16" s="1">
        <v>8755</v>
      </c>
      <c r="AW16" s="1">
        <v>165640</v>
      </c>
      <c r="AX16" s="1">
        <v>2392</v>
      </c>
      <c r="AY16" s="1">
        <v>2940</v>
      </c>
      <c r="AZ16" s="1">
        <v>57428</v>
      </c>
      <c r="BA16" s="1">
        <v>295318</v>
      </c>
      <c r="BB16" s="1">
        <v>2807191</v>
      </c>
      <c r="BC16" s="1">
        <v>700725</v>
      </c>
      <c r="BD16" s="1">
        <v>1270222</v>
      </c>
      <c r="BE16" s="1">
        <v>110643</v>
      </c>
      <c r="BF16" s="1">
        <v>368716</v>
      </c>
      <c r="BG16" s="1">
        <v>356885</v>
      </c>
      <c r="BH16" s="1">
        <v>2524817</v>
      </c>
      <c r="BI16" s="1">
        <v>63328</v>
      </c>
      <c r="BJ16" s="1">
        <v>98808</v>
      </c>
      <c r="BK16" s="1">
        <v>572167</v>
      </c>
      <c r="BL16" s="1">
        <v>488328</v>
      </c>
      <c r="BM16" s="1">
        <v>197744</v>
      </c>
      <c r="BN16" s="1">
        <v>642694</v>
      </c>
      <c r="BO16" s="1">
        <v>461748</v>
      </c>
      <c r="BP16" s="1">
        <v>2779895</v>
      </c>
      <c r="BQ16" s="1">
        <v>4556</v>
      </c>
      <c r="BR16" s="1">
        <v>1447990</v>
      </c>
      <c r="BS16" s="1">
        <v>39878</v>
      </c>
      <c r="BT16" s="1">
        <v>1287471</v>
      </c>
      <c r="BU16" s="1">
        <v>784216</v>
      </c>
      <c r="BV16" s="1">
        <v>807613</v>
      </c>
      <c r="BW16" s="1">
        <v>204879</v>
      </c>
      <c r="BX16" s="1">
        <v>21461</v>
      </c>
      <c r="BY16" s="1">
        <v>64691</v>
      </c>
      <c r="BZ16" s="1">
        <v>417555</v>
      </c>
      <c r="CA16" s="1">
        <v>21071</v>
      </c>
      <c r="CB16" s="1">
        <v>54343</v>
      </c>
      <c r="CC16" s="2">
        <v>1.95</v>
      </c>
      <c r="CD16" s="1">
        <v>721253</v>
      </c>
      <c r="CE16" s="1">
        <v>522025</v>
      </c>
      <c r="CF16" s="1">
        <v>158036</v>
      </c>
      <c r="CG16" s="1">
        <v>118497</v>
      </c>
      <c r="CH16" s="1">
        <v>47572</v>
      </c>
      <c r="CI16" s="1">
        <v>15824</v>
      </c>
      <c r="CJ16" s="1">
        <v>8622</v>
      </c>
      <c r="CK16" s="2">
        <v>60.49</v>
      </c>
      <c r="CL16" s="1">
        <v>36309</v>
      </c>
      <c r="CM16" s="1">
        <v>163599</v>
      </c>
      <c r="CN16" s="1">
        <v>184488</v>
      </c>
      <c r="CO16" s="1">
        <v>219811</v>
      </c>
      <c r="CP16" s="1">
        <v>295561</v>
      </c>
      <c r="CQ16" s="1">
        <v>293395</v>
      </c>
      <c r="CR16" s="1">
        <v>231802</v>
      </c>
      <c r="CS16" s="1">
        <v>166863</v>
      </c>
      <c r="CT16" s="1">
        <v>176105</v>
      </c>
      <c r="CU16" s="1">
        <v>648326</v>
      </c>
      <c r="CV16" s="1">
        <v>767398</v>
      </c>
      <c r="CW16" s="1">
        <v>45950</v>
      </c>
      <c r="CX16" s="1">
        <v>66564</v>
      </c>
      <c r="CY16" s="1">
        <v>96236</v>
      </c>
      <c r="CZ16" s="1">
        <v>75894</v>
      </c>
      <c r="DA16" s="1">
        <v>62199</v>
      </c>
      <c r="DB16" s="1">
        <v>71581</v>
      </c>
      <c r="DC16" s="1">
        <v>78606</v>
      </c>
      <c r="DD16" s="1">
        <v>66694</v>
      </c>
      <c r="DE16" s="1">
        <v>65016</v>
      </c>
      <c r="DF16" s="1">
        <v>64029</v>
      </c>
      <c r="DG16" s="1">
        <v>64219</v>
      </c>
      <c r="DH16" s="1">
        <v>61496</v>
      </c>
      <c r="DI16" s="1">
        <v>118196</v>
      </c>
      <c r="DJ16" s="1">
        <v>155341</v>
      </c>
      <c r="DK16" s="1">
        <v>215618</v>
      </c>
      <c r="DL16" s="1">
        <v>126104</v>
      </c>
      <c r="DM16" s="1">
        <v>108461</v>
      </c>
      <c r="DN16" s="1">
        <v>123640</v>
      </c>
      <c r="DO16" s="1">
        <v>134734</v>
      </c>
      <c r="DP16" s="1">
        <v>43502</v>
      </c>
      <c r="DQ16" s="1">
        <v>66991</v>
      </c>
      <c r="DR16" s="1">
        <v>82578</v>
      </c>
      <c r="DS16" s="1">
        <v>90912</v>
      </c>
      <c r="DT16" s="1">
        <v>82404</v>
      </c>
      <c r="DU16" s="1">
        <v>63470</v>
      </c>
      <c r="DV16" s="1">
        <v>45422</v>
      </c>
      <c r="DW16" s="2">
        <v>66378.73</v>
      </c>
      <c r="DX16" s="2">
        <v>31145.75</v>
      </c>
      <c r="DY16" s="2">
        <v>2235.4299999999998</v>
      </c>
      <c r="DZ16" s="2">
        <v>471.6</v>
      </c>
      <c r="EA16" s="2">
        <v>2321.5300000000002</v>
      </c>
      <c r="EB16" s="2">
        <v>2009.31</v>
      </c>
      <c r="EC16" s="2">
        <v>3754.92</v>
      </c>
      <c r="ED16" s="2">
        <v>9713.5</v>
      </c>
      <c r="EE16" s="2">
        <v>5671.19</v>
      </c>
      <c r="EF16" s="2">
        <v>2333.7199999999998</v>
      </c>
      <c r="EG16" s="2">
        <v>14036.12</v>
      </c>
      <c r="EH16" s="2">
        <v>2633.99</v>
      </c>
      <c r="EI16" s="2">
        <v>1269.3900000000001</v>
      </c>
      <c r="EJ16" s="2">
        <v>892.97</v>
      </c>
      <c r="EK16" s="2">
        <v>148.27000000000001</v>
      </c>
      <c r="EL16" s="2">
        <v>396.59</v>
      </c>
      <c r="EM16" s="2">
        <v>11936.78</v>
      </c>
      <c r="EN16" s="2">
        <v>4877.1400000000003</v>
      </c>
      <c r="EO16" s="2">
        <v>1676.28</v>
      </c>
      <c r="EP16" s="1">
        <v>46360</v>
      </c>
      <c r="EQ16" s="1">
        <v>5734</v>
      </c>
      <c r="ER16" s="1">
        <v>1027</v>
      </c>
      <c r="ES16" s="1">
        <v>11505</v>
      </c>
      <c r="ET16" s="1">
        <v>54348</v>
      </c>
      <c r="EU16" s="1">
        <v>91333</v>
      </c>
      <c r="EV16" s="1">
        <v>140834</v>
      </c>
      <c r="EW16" s="1">
        <v>8309</v>
      </c>
      <c r="EX16" s="1">
        <v>29103</v>
      </c>
      <c r="EY16" s="1">
        <v>4547</v>
      </c>
      <c r="EZ16" s="1">
        <v>392161</v>
      </c>
      <c r="FA16" s="1">
        <v>22466</v>
      </c>
      <c r="FB16" s="1">
        <v>263340</v>
      </c>
      <c r="FC16" s="1">
        <v>57634</v>
      </c>
      <c r="FD16" s="1">
        <v>30078</v>
      </c>
      <c r="FE16" s="1">
        <v>170018</v>
      </c>
      <c r="FF16" s="1">
        <v>5745</v>
      </c>
      <c r="FG16" s="1">
        <v>500161</v>
      </c>
      <c r="FH16" s="1">
        <v>102756</v>
      </c>
      <c r="FI16" s="1">
        <v>15537</v>
      </c>
      <c r="FJ16" s="1">
        <v>1094</v>
      </c>
      <c r="FK16" s="1">
        <v>2666</v>
      </c>
      <c r="FL16" s="1">
        <v>10497</v>
      </c>
      <c r="FM16" s="1">
        <v>1567</v>
      </c>
      <c r="FN16" s="1">
        <v>105331</v>
      </c>
      <c r="FO16" s="1">
        <v>789252</v>
      </c>
      <c r="FP16" s="1">
        <v>93</v>
      </c>
      <c r="FQ16" s="1">
        <v>58</v>
      </c>
      <c r="FR16" s="1">
        <v>40</v>
      </c>
      <c r="FS16" s="1">
        <v>57</v>
      </c>
      <c r="FT16" s="1">
        <v>78</v>
      </c>
      <c r="FU16" s="1">
        <v>51</v>
      </c>
      <c r="FV16" s="1">
        <v>98</v>
      </c>
      <c r="FW16" s="1">
        <v>66</v>
      </c>
      <c r="FX16" s="1">
        <v>111</v>
      </c>
      <c r="FY16" s="1">
        <v>65</v>
      </c>
      <c r="FZ16" s="3">
        <v>0.443</v>
      </c>
      <c r="GA16" s="3">
        <v>-1.095</v>
      </c>
      <c r="GB16" s="3">
        <v>1.768</v>
      </c>
      <c r="GC16" s="3">
        <v>7.1999999999999995E-2</v>
      </c>
      <c r="GD16" s="3">
        <v>0.748</v>
      </c>
      <c r="GE16" s="3">
        <v>0.20699999999999999</v>
      </c>
      <c r="GF16" s="3">
        <v>1.2999999999999999E-2</v>
      </c>
      <c r="GG16" s="3">
        <v>-0.111</v>
      </c>
      <c r="GH16" s="3">
        <v>0.51500000000000001</v>
      </c>
      <c r="GI16" s="3">
        <v>0.122</v>
      </c>
      <c r="GJ16" s="3">
        <v>0.154</v>
      </c>
      <c r="GK16" s="3">
        <v>-0.47</v>
      </c>
      <c r="GL16" s="3">
        <v>0.44600000000000001</v>
      </c>
      <c r="GM16" s="3">
        <v>-5.0999999999999997E-2</v>
      </c>
      <c r="GN16" s="3">
        <v>-0.44700000000000001</v>
      </c>
      <c r="GO16" s="3">
        <v>-0.52800000000000002</v>
      </c>
      <c r="GP16" s="3">
        <v>-0.115</v>
      </c>
      <c r="GQ16" s="3">
        <v>0.10299999999999999</v>
      </c>
      <c r="GR16" s="3">
        <v>0.16</v>
      </c>
      <c r="GS16" s="3">
        <v>9.7000000000000003E-2</v>
      </c>
      <c r="GT16" s="3">
        <v>-0.151</v>
      </c>
      <c r="GU16" s="3">
        <v>-0.27400000000000002</v>
      </c>
      <c r="GV16" s="3">
        <v>-2.3E-2</v>
      </c>
      <c r="GW16" s="3">
        <v>8.9999999999999993E-3</v>
      </c>
      <c r="GX16" s="3">
        <v>0.20499999999999999</v>
      </c>
      <c r="GY16" s="3">
        <v>0.154</v>
      </c>
      <c r="GZ16" s="4">
        <v>108</v>
      </c>
      <c r="HA16" s="4">
        <v>102</v>
      </c>
      <c r="HB16" s="4">
        <v>115</v>
      </c>
      <c r="HC16" s="4">
        <v>118</v>
      </c>
      <c r="HD16" s="4">
        <v>121</v>
      </c>
      <c r="HE16" s="4">
        <v>92</v>
      </c>
      <c r="HF16" s="1">
        <v>5829</v>
      </c>
      <c r="HG16" s="1">
        <v>4705</v>
      </c>
      <c r="HH16" s="1">
        <v>4584</v>
      </c>
      <c r="HI16" s="1">
        <v>4249</v>
      </c>
      <c r="HJ16" s="1">
        <v>3488</v>
      </c>
      <c r="HK16" s="1">
        <v>4145</v>
      </c>
      <c r="HL16" s="1">
        <v>2747</v>
      </c>
      <c r="HM16" s="1">
        <v>7344</v>
      </c>
      <c r="HN16" s="1">
        <v>9558</v>
      </c>
      <c r="HO16" s="1">
        <v>11750</v>
      </c>
      <c r="HP16" s="1">
        <v>15157</v>
      </c>
      <c r="HQ16" s="1">
        <v>17784</v>
      </c>
      <c r="HR16" s="1">
        <v>17724</v>
      </c>
      <c r="HS16" s="1">
        <v>53321</v>
      </c>
      <c r="HT16" s="1">
        <v>54870</v>
      </c>
      <c r="HU16" s="1">
        <v>78677</v>
      </c>
      <c r="HV16" s="1">
        <v>66559</v>
      </c>
      <c r="HW16" s="1">
        <v>132813</v>
      </c>
      <c r="HX16" s="1">
        <v>106542</v>
      </c>
      <c r="HY16" s="1">
        <v>142471</v>
      </c>
      <c r="HZ16" s="1">
        <v>71596</v>
      </c>
      <c r="IA16" s="1">
        <v>66288</v>
      </c>
      <c r="IB16" s="1">
        <v>20644</v>
      </c>
      <c r="IC16" s="1">
        <v>16708</v>
      </c>
      <c r="ID16" s="1">
        <v>236624</v>
      </c>
      <c r="IE16" s="1">
        <v>3177</v>
      </c>
      <c r="IF16" s="1">
        <v>4248</v>
      </c>
      <c r="IG16" s="1">
        <v>6907</v>
      </c>
      <c r="IH16" s="1">
        <v>9842</v>
      </c>
      <c r="II16" s="1">
        <v>7304</v>
      </c>
      <c r="IJ16" s="1">
        <v>8296</v>
      </c>
      <c r="IK16" s="1">
        <v>7958</v>
      </c>
      <c r="IL16" s="1">
        <v>10722</v>
      </c>
      <c r="IM16" s="1">
        <v>12379</v>
      </c>
      <c r="IN16" s="1">
        <v>16204</v>
      </c>
      <c r="IO16" s="1">
        <v>17014</v>
      </c>
      <c r="IP16" s="1">
        <v>21590</v>
      </c>
      <c r="IQ16" s="1">
        <v>23621</v>
      </c>
      <c r="IR16" s="1">
        <v>24460</v>
      </c>
      <c r="IS16" s="1">
        <v>24568</v>
      </c>
      <c r="IT16" s="1">
        <v>49630</v>
      </c>
      <c r="IU16" s="1">
        <v>37860</v>
      </c>
      <c r="IV16" s="1">
        <v>71689</v>
      </c>
      <c r="IW16">
        <v>42345</v>
      </c>
      <c r="IX16">
        <v>55065</v>
      </c>
      <c r="IY16">
        <v>72931</v>
      </c>
      <c r="IZ16">
        <v>24927</v>
      </c>
      <c r="JA16">
        <v>924</v>
      </c>
      <c r="JB16">
        <v>610991</v>
      </c>
      <c r="JC16">
        <v>179828</v>
      </c>
      <c r="JD16">
        <v>12562</v>
      </c>
      <c r="JE16">
        <v>29057</v>
      </c>
      <c r="JF16">
        <v>34786</v>
      </c>
      <c r="JG16">
        <v>28199</v>
      </c>
      <c r="JH16">
        <v>41399</v>
      </c>
      <c r="JI16">
        <v>56078</v>
      </c>
      <c r="JJ16">
        <v>20625</v>
      </c>
      <c r="JK16">
        <v>336</v>
      </c>
      <c r="JL16">
        <v>78574</v>
      </c>
      <c r="JM16">
        <v>45917</v>
      </c>
      <c r="JN16">
        <v>27607</v>
      </c>
      <c r="JO16">
        <v>48907</v>
      </c>
      <c r="JP16">
        <v>64703</v>
      </c>
      <c r="JQ16">
        <v>63432</v>
      </c>
      <c r="JR16">
        <v>70495</v>
      </c>
      <c r="JS16">
        <v>187744</v>
      </c>
      <c r="JT16">
        <v>6659</v>
      </c>
      <c r="JU16">
        <v>287</v>
      </c>
      <c r="JV16">
        <v>88320</v>
      </c>
      <c r="JW16">
        <v>125976</v>
      </c>
      <c r="JX16">
        <v>273070</v>
      </c>
      <c r="JY16">
        <v>317248</v>
      </c>
      <c r="JZ16">
        <v>298736</v>
      </c>
      <c r="KA16">
        <v>175337</v>
      </c>
      <c r="KB16">
        <v>140770</v>
      </c>
      <c r="KC16">
        <v>55503</v>
      </c>
      <c r="KD16">
        <v>133226</v>
      </c>
      <c r="KE16">
        <v>7060</v>
      </c>
      <c r="KF16">
        <v>2549</v>
      </c>
      <c r="KG16">
        <v>65169</v>
      </c>
      <c r="KH16">
        <v>115089</v>
      </c>
      <c r="KI16">
        <v>40833</v>
      </c>
      <c r="KJ16">
        <v>157778</v>
      </c>
      <c r="KK16">
        <v>43198</v>
      </c>
      <c r="KL16">
        <v>10247</v>
      </c>
      <c r="KM16">
        <v>32403</v>
      </c>
      <c r="KN16">
        <v>87136</v>
      </c>
      <c r="KO16">
        <v>37355</v>
      </c>
      <c r="KP16">
        <v>123651</v>
      </c>
      <c r="KQ16">
        <v>1332</v>
      </c>
      <c r="KR16">
        <v>50611</v>
      </c>
      <c r="KS16">
        <v>149589</v>
      </c>
      <c r="KT16">
        <v>203168</v>
      </c>
      <c r="KU16">
        <v>34901</v>
      </c>
      <c r="KV16">
        <v>79532</v>
      </c>
      <c r="KW16">
        <v>68960</v>
      </c>
      <c r="KX16">
        <v>64322</v>
      </c>
      <c r="KY16">
        <v>869512</v>
      </c>
      <c r="KZ16">
        <v>75597</v>
      </c>
      <c r="LA16">
        <v>137522</v>
      </c>
      <c r="LB16">
        <v>107641</v>
      </c>
      <c r="LC16">
        <v>56879</v>
      </c>
      <c r="LD16">
        <v>33211</v>
      </c>
      <c r="LE16">
        <v>93053</v>
      </c>
      <c r="LF16">
        <v>1468</v>
      </c>
      <c r="LG16">
        <v>1370709</v>
      </c>
      <c r="LH16">
        <v>16307</v>
      </c>
      <c r="LI16">
        <v>72075</v>
      </c>
      <c r="LJ16">
        <v>17154</v>
      </c>
      <c r="LK16">
        <v>80167</v>
      </c>
      <c r="LL16">
        <v>10005</v>
      </c>
      <c r="LM16">
        <v>28292</v>
      </c>
      <c r="LN16">
        <v>2244</v>
      </c>
      <c r="LO16">
        <v>11233</v>
      </c>
      <c r="LP16">
        <v>2417.87158</v>
      </c>
      <c r="LQ16">
        <v>1430.7273499999999</v>
      </c>
    </row>
    <row r="17" spans="1:329" x14ac:dyDescent="0.25">
      <c r="A17" s="5" t="s">
        <v>339</v>
      </c>
      <c r="B17" s="5" t="s">
        <v>273</v>
      </c>
      <c r="C17" s="1">
        <v>4112663</v>
      </c>
      <c r="D17" s="1">
        <v>4610231</v>
      </c>
      <c r="E17" s="1">
        <v>4872043</v>
      </c>
      <c r="F17" s="1">
        <v>5008214</v>
      </c>
      <c r="G17" s="1">
        <v>5154429</v>
      </c>
      <c r="H17" s="1">
        <v>1589366</v>
      </c>
      <c r="I17" s="1">
        <v>1871509</v>
      </c>
      <c r="J17" s="1">
        <v>2055372</v>
      </c>
      <c r="K17" s="1">
        <v>2207640</v>
      </c>
      <c r="L17" s="1">
        <v>2260155</v>
      </c>
      <c r="M17" s="1">
        <v>2338133</v>
      </c>
      <c r="N17" s="1">
        <v>1680111</v>
      </c>
      <c r="O17" s="1">
        <v>527530</v>
      </c>
      <c r="P17" s="1">
        <v>130492</v>
      </c>
      <c r="Q17" s="1">
        <v>188872</v>
      </c>
      <c r="R17" s="1">
        <v>45163</v>
      </c>
      <c r="S17" s="1">
        <v>203</v>
      </c>
      <c r="T17" s="1">
        <v>4016570</v>
      </c>
      <c r="U17" s="1">
        <v>930872</v>
      </c>
      <c r="V17" s="1">
        <v>60772</v>
      </c>
      <c r="W17" s="1">
        <v>5977</v>
      </c>
      <c r="X17" s="1">
        <v>98</v>
      </c>
      <c r="Y17" s="2">
        <v>45.37</v>
      </c>
      <c r="Z17" s="1">
        <v>246244</v>
      </c>
      <c r="AA17" s="1">
        <v>261465</v>
      </c>
      <c r="AB17" s="1">
        <v>283908</v>
      </c>
      <c r="AC17" s="1">
        <v>270874</v>
      </c>
      <c r="AD17" s="1">
        <v>251694</v>
      </c>
      <c r="AE17" s="1">
        <v>288458</v>
      </c>
      <c r="AF17" s="1">
        <v>274286</v>
      </c>
      <c r="AG17" s="1">
        <v>278632</v>
      </c>
      <c r="AH17" s="1">
        <v>266902</v>
      </c>
      <c r="AI17" s="1">
        <v>297802</v>
      </c>
      <c r="AJ17" s="1">
        <v>329534</v>
      </c>
      <c r="AK17" s="1">
        <v>388930</v>
      </c>
      <c r="AL17" s="1">
        <v>390281</v>
      </c>
      <c r="AM17" s="1">
        <v>349642</v>
      </c>
      <c r="AN17" s="1">
        <v>298370</v>
      </c>
      <c r="AO17" s="1">
        <v>221700</v>
      </c>
      <c r="AP17" s="1">
        <v>153059</v>
      </c>
      <c r="AQ17" s="1">
        <v>156438</v>
      </c>
      <c r="AR17" s="1">
        <v>2413162</v>
      </c>
      <c r="AS17" s="1">
        <v>2595052</v>
      </c>
      <c r="AT17" s="1">
        <v>4102356</v>
      </c>
      <c r="AU17" s="1">
        <v>306876</v>
      </c>
      <c r="AV17" s="1">
        <v>22752</v>
      </c>
      <c r="AW17" s="1">
        <v>139200</v>
      </c>
      <c r="AX17" s="1">
        <v>2563</v>
      </c>
      <c r="AY17" s="1">
        <v>3474</v>
      </c>
      <c r="AZ17" s="1">
        <v>91213</v>
      </c>
      <c r="BA17" s="1">
        <v>340250</v>
      </c>
      <c r="BB17" s="1">
        <v>4216601</v>
      </c>
      <c r="BC17" s="1">
        <v>1057105</v>
      </c>
      <c r="BD17" s="1">
        <v>2203323</v>
      </c>
      <c r="BE17" s="1">
        <v>135057</v>
      </c>
      <c r="BF17" s="1">
        <v>328678</v>
      </c>
      <c r="BG17" s="1">
        <v>492438</v>
      </c>
      <c r="BH17" s="1">
        <v>3694033</v>
      </c>
      <c r="BI17" s="1">
        <v>86270</v>
      </c>
      <c r="BJ17" s="1">
        <v>175990</v>
      </c>
      <c r="BK17" s="1">
        <v>991635</v>
      </c>
      <c r="BL17" s="1">
        <v>784728</v>
      </c>
      <c r="BM17" s="1">
        <v>354802</v>
      </c>
      <c r="BN17" s="1">
        <v>787247</v>
      </c>
      <c r="BO17" s="1">
        <v>513361</v>
      </c>
      <c r="BP17" s="1">
        <v>4163803</v>
      </c>
      <c r="BQ17" s="1">
        <v>7354</v>
      </c>
      <c r="BR17" s="1">
        <v>2445847</v>
      </c>
      <c r="BS17" s="1">
        <v>65376</v>
      </c>
      <c r="BT17" s="1">
        <v>1645226</v>
      </c>
      <c r="BU17" s="1">
        <v>1414949</v>
      </c>
      <c r="BV17" s="1">
        <v>792691</v>
      </c>
      <c r="BW17" s="1">
        <v>382084</v>
      </c>
      <c r="BX17" s="1">
        <v>43627</v>
      </c>
      <c r="BY17" s="1">
        <v>120588</v>
      </c>
      <c r="BZ17" s="1">
        <v>751629</v>
      </c>
      <c r="CA17" s="1">
        <v>34373</v>
      </c>
      <c r="CB17" s="1">
        <v>82188</v>
      </c>
      <c r="CC17" s="2">
        <v>2.2400000000000002</v>
      </c>
      <c r="CD17" s="1">
        <v>679555</v>
      </c>
      <c r="CE17" s="1">
        <v>869747</v>
      </c>
      <c r="CF17" s="1">
        <v>292644</v>
      </c>
      <c r="CG17" s="1">
        <v>225382</v>
      </c>
      <c r="CH17" s="1">
        <v>93019</v>
      </c>
      <c r="CI17" s="1">
        <v>31298</v>
      </c>
      <c r="CJ17" s="1">
        <v>15995</v>
      </c>
      <c r="CK17" s="2">
        <v>56.69</v>
      </c>
      <c r="CL17" s="1">
        <v>71922</v>
      </c>
      <c r="CM17" s="1">
        <v>262072</v>
      </c>
      <c r="CN17" s="1">
        <v>292864</v>
      </c>
      <c r="CO17" s="1">
        <v>353258</v>
      </c>
      <c r="CP17" s="1">
        <v>460032</v>
      </c>
      <c r="CQ17" s="1">
        <v>407304</v>
      </c>
      <c r="CR17" s="1">
        <v>253686</v>
      </c>
      <c r="CS17" s="1">
        <v>106503</v>
      </c>
      <c r="CT17" s="1">
        <v>94901</v>
      </c>
      <c r="CU17" s="1">
        <v>708200</v>
      </c>
      <c r="CV17" s="1">
        <v>1404540</v>
      </c>
      <c r="CW17" s="1">
        <v>38575</v>
      </c>
      <c r="CX17" s="1">
        <v>67295</v>
      </c>
      <c r="CY17" s="1">
        <v>84935</v>
      </c>
      <c r="CZ17" s="1">
        <v>85378</v>
      </c>
      <c r="DA17" s="1">
        <v>71317</v>
      </c>
      <c r="DB17" s="1">
        <v>85384</v>
      </c>
      <c r="DC17" s="1">
        <v>97462</v>
      </c>
      <c r="DD17" s="1">
        <v>89548</v>
      </c>
      <c r="DE17" s="1">
        <v>91578</v>
      </c>
      <c r="DF17" s="1">
        <v>94862</v>
      </c>
      <c r="DG17" s="1">
        <v>96585</v>
      </c>
      <c r="DH17" s="1">
        <v>91278</v>
      </c>
      <c r="DI17" s="1">
        <v>181076</v>
      </c>
      <c r="DJ17" s="1">
        <v>245369</v>
      </c>
      <c r="DK17" s="1">
        <v>336855</v>
      </c>
      <c r="DL17" s="1">
        <v>193541</v>
      </c>
      <c r="DM17" s="1">
        <v>157865</v>
      </c>
      <c r="DN17" s="1">
        <v>155352</v>
      </c>
      <c r="DO17" s="1">
        <v>134189</v>
      </c>
      <c r="DP17" s="1">
        <v>45372</v>
      </c>
      <c r="DQ17" s="1">
        <v>66134</v>
      </c>
      <c r="DR17" s="1">
        <v>79537</v>
      </c>
      <c r="DS17" s="1">
        <v>87968</v>
      </c>
      <c r="DT17" s="1">
        <v>79754</v>
      </c>
      <c r="DU17" s="1">
        <v>59753</v>
      </c>
      <c r="DV17" s="1">
        <v>44324</v>
      </c>
      <c r="DW17" s="2">
        <v>64067.9</v>
      </c>
      <c r="DX17" s="2">
        <v>30283.58</v>
      </c>
      <c r="DY17" s="2">
        <v>2109.4899999999998</v>
      </c>
      <c r="DZ17" s="2">
        <v>454.07</v>
      </c>
      <c r="EA17" s="2">
        <v>2231.98</v>
      </c>
      <c r="EB17" s="2">
        <v>1856.03</v>
      </c>
      <c r="EC17" s="2">
        <v>3625.81</v>
      </c>
      <c r="ED17" s="2">
        <v>9420.82</v>
      </c>
      <c r="EE17" s="2">
        <v>5521.95</v>
      </c>
      <c r="EF17" s="2">
        <v>2256.9699999999998</v>
      </c>
      <c r="EG17" s="2">
        <v>13429.89</v>
      </c>
      <c r="EH17" s="2">
        <v>2522.17</v>
      </c>
      <c r="EI17" s="2">
        <v>1217.48</v>
      </c>
      <c r="EJ17" s="2">
        <v>861.02</v>
      </c>
      <c r="EK17" s="2">
        <v>141.53</v>
      </c>
      <c r="EL17" s="2">
        <v>389.8</v>
      </c>
      <c r="EM17" s="2">
        <v>11698.2</v>
      </c>
      <c r="EN17" s="2">
        <v>4763.0600000000004</v>
      </c>
      <c r="EO17" s="2">
        <v>1567.63</v>
      </c>
      <c r="EP17" s="1">
        <v>36825</v>
      </c>
      <c r="EQ17" s="1">
        <v>4618</v>
      </c>
      <c r="ER17" s="1">
        <v>815</v>
      </c>
      <c r="ES17" s="1">
        <v>7932</v>
      </c>
      <c r="ET17" s="1">
        <v>39034</v>
      </c>
      <c r="EU17" s="1">
        <v>71233</v>
      </c>
      <c r="EV17" s="1">
        <v>116030</v>
      </c>
      <c r="EW17" s="1">
        <v>7522</v>
      </c>
      <c r="EX17" s="1">
        <v>22914</v>
      </c>
      <c r="EY17" s="1">
        <v>3685</v>
      </c>
      <c r="EZ17" s="1">
        <v>309989</v>
      </c>
      <c r="FA17" s="1">
        <v>22150</v>
      </c>
      <c r="FB17" s="1">
        <v>184417</v>
      </c>
      <c r="FC17" s="1">
        <v>42918</v>
      </c>
      <c r="FD17" s="1">
        <v>27197</v>
      </c>
      <c r="FE17" s="1">
        <v>136449</v>
      </c>
      <c r="FF17" s="1">
        <v>4772</v>
      </c>
      <c r="FG17" s="1">
        <v>406636</v>
      </c>
      <c r="FH17" s="1">
        <v>65665</v>
      </c>
      <c r="FI17" s="1">
        <v>15878</v>
      </c>
      <c r="FJ17" s="1">
        <v>962</v>
      </c>
      <c r="FK17" s="1">
        <v>2535</v>
      </c>
      <c r="FL17" s="1">
        <v>7415</v>
      </c>
      <c r="FM17" s="1">
        <v>1321</v>
      </c>
      <c r="FN17" s="1">
        <v>89374</v>
      </c>
      <c r="FO17" s="1">
        <v>628327</v>
      </c>
      <c r="FP17" s="1">
        <v>85</v>
      </c>
      <c r="FQ17" s="1">
        <v>58</v>
      </c>
      <c r="FR17" s="1">
        <v>47</v>
      </c>
      <c r="FS17" s="1">
        <v>97</v>
      </c>
      <c r="FT17" s="1">
        <v>35</v>
      </c>
      <c r="FU17" s="1">
        <v>61</v>
      </c>
      <c r="FV17" s="1">
        <v>89</v>
      </c>
      <c r="FW17" s="1">
        <v>82</v>
      </c>
      <c r="FX17" s="1">
        <v>97</v>
      </c>
      <c r="FY17" s="1">
        <v>46</v>
      </c>
      <c r="FZ17" s="3">
        <v>2.5999999999999999E-2</v>
      </c>
      <c r="GA17" s="3">
        <v>8.4000000000000005E-2</v>
      </c>
      <c r="GB17" s="3">
        <v>0.70899999999999996</v>
      </c>
      <c r="GC17" s="3">
        <v>-0.247</v>
      </c>
      <c r="GD17" s="3">
        <v>0.316</v>
      </c>
      <c r="GE17" s="3">
        <v>0.33</v>
      </c>
      <c r="GF17" s="3">
        <v>-0.20300000000000001</v>
      </c>
      <c r="GG17" s="3">
        <v>2.5999999999999999E-2</v>
      </c>
      <c r="GH17" s="3">
        <v>0.35199999999999998</v>
      </c>
      <c r="GI17" s="3">
        <v>0.14899999999999999</v>
      </c>
      <c r="GJ17" s="3">
        <v>-0.55200000000000005</v>
      </c>
      <c r="GK17" s="3">
        <v>-0.20300000000000001</v>
      </c>
      <c r="GL17" s="3">
        <v>-6.6000000000000003E-2</v>
      </c>
      <c r="GM17" s="3">
        <v>2.8000000000000001E-2</v>
      </c>
      <c r="GN17" s="3">
        <v>-0.33200000000000002</v>
      </c>
      <c r="GO17" s="3">
        <v>-0.112</v>
      </c>
      <c r="GP17" s="3">
        <v>-9.8000000000000004E-2</v>
      </c>
      <c r="GQ17" s="3">
        <v>0.10199999999999999</v>
      </c>
      <c r="GR17" s="3">
        <v>0.316</v>
      </c>
      <c r="GS17" s="3">
        <v>-0.4</v>
      </c>
      <c r="GT17" s="3">
        <v>-3.6999999999999998E-2</v>
      </c>
      <c r="GU17" s="3">
        <v>3.4000000000000002E-2</v>
      </c>
      <c r="GV17" s="3">
        <v>-0.11600000000000001</v>
      </c>
      <c r="GW17" s="3">
        <v>-6.5000000000000002E-2</v>
      </c>
      <c r="GX17" s="3">
        <v>-4.5999999999999999E-2</v>
      </c>
      <c r="GY17" s="3">
        <v>-1.9E-2</v>
      </c>
      <c r="GZ17" s="4">
        <v>100</v>
      </c>
      <c r="HA17" s="4">
        <v>107</v>
      </c>
      <c r="HB17" s="4">
        <v>97</v>
      </c>
      <c r="HC17" s="4">
        <v>110</v>
      </c>
      <c r="HD17" s="4">
        <v>84</v>
      </c>
      <c r="HE17" s="4">
        <v>87</v>
      </c>
      <c r="HF17" s="1">
        <v>15678</v>
      </c>
      <c r="HG17" s="1">
        <v>12688</v>
      </c>
      <c r="HH17" s="1">
        <v>11115</v>
      </c>
      <c r="HI17" s="1">
        <v>9714</v>
      </c>
      <c r="HJ17" s="1">
        <v>8000</v>
      </c>
      <c r="HK17" s="1">
        <v>8928</v>
      </c>
      <c r="HL17" s="1">
        <v>6123</v>
      </c>
      <c r="HM17" s="1">
        <v>17487</v>
      </c>
      <c r="HN17" s="1">
        <v>23644</v>
      </c>
      <c r="HO17" s="1">
        <v>30204</v>
      </c>
      <c r="HP17" s="1">
        <v>41329</v>
      </c>
      <c r="HQ17" s="1">
        <v>54059</v>
      </c>
      <c r="HR17" s="1">
        <v>57502</v>
      </c>
      <c r="HS17" s="1">
        <v>162821</v>
      </c>
      <c r="HT17" s="1">
        <v>167468</v>
      </c>
      <c r="HU17" s="1">
        <v>202935</v>
      </c>
      <c r="HV17" s="1">
        <v>142125</v>
      </c>
      <c r="HW17" s="1">
        <v>211201</v>
      </c>
      <c r="HX17" s="1">
        <v>137888</v>
      </c>
      <c r="HY17" s="1">
        <v>132055</v>
      </c>
      <c r="HZ17" s="1">
        <v>53068</v>
      </c>
      <c r="IA17" s="1">
        <v>43106</v>
      </c>
      <c r="IB17" s="1">
        <v>13151</v>
      </c>
      <c r="IC17" s="1">
        <v>12176</v>
      </c>
      <c r="ID17" s="1">
        <v>169768</v>
      </c>
      <c r="IE17" s="1">
        <v>4305</v>
      </c>
      <c r="IF17" s="1">
        <v>5288</v>
      </c>
      <c r="IG17" s="1">
        <v>6223</v>
      </c>
      <c r="IH17" s="1">
        <v>6740</v>
      </c>
      <c r="II17" s="1">
        <v>8689</v>
      </c>
      <c r="IJ17" s="1">
        <v>13965</v>
      </c>
      <c r="IK17" s="1">
        <v>18524</v>
      </c>
      <c r="IL17" s="1">
        <v>27932</v>
      </c>
      <c r="IM17" s="1">
        <v>31771</v>
      </c>
      <c r="IN17" s="1">
        <v>38893</v>
      </c>
      <c r="IO17" s="1">
        <v>34578</v>
      </c>
      <c r="IP17" s="1">
        <v>37620</v>
      </c>
      <c r="IQ17" s="1">
        <v>34573</v>
      </c>
      <c r="IR17" s="1">
        <v>29078</v>
      </c>
      <c r="IS17" s="1">
        <v>25353</v>
      </c>
      <c r="IT17" s="1">
        <v>42522</v>
      </c>
      <c r="IU17" s="1">
        <v>25176</v>
      </c>
      <c r="IV17" s="1">
        <v>30585</v>
      </c>
      <c r="IW17">
        <v>8549</v>
      </c>
      <c r="IX17">
        <v>7800</v>
      </c>
      <c r="IY17">
        <v>6187</v>
      </c>
      <c r="IZ17">
        <v>29719</v>
      </c>
      <c r="JA17">
        <v>623</v>
      </c>
      <c r="JB17">
        <v>1378912</v>
      </c>
      <c r="JC17">
        <v>95490</v>
      </c>
      <c r="JD17">
        <v>7917</v>
      </c>
      <c r="JE17">
        <v>13618</v>
      </c>
      <c r="JF17">
        <v>12368</v>
      </c>
      <c r="JG17">
        <v>7128</v>
      </c>
      <c r="JH17">
        <v>5138</v>
      </c>
      <c r="JI17">
        <v>2785</v>
      </c>
      <c r="JJ17">
        <v>56456</v>
      </c>
      <c r="JK17">
        <v>1194</v>
      </c>
      <c r="JL17">
        <v>157912</v>
      </c>
      <c r="JM17">
        <v>32324</v>
      </c>
      <c r="JN17">
        <v>40007</v>
      </c>
      <c r="JO17">
        <v>52990</v>
      </c>
      <c r="JP17">
        <v>66352</v>
      </c>
      <c r="JQ17">
        <v>51360</v>
      </c>
      <c r="JR17">
        <v>32227</v>
      </c>
      <c r="JS17">
        <v>29438</v>
      </c>
      <c r="JT17">
        <v>19783</v>
      </c>
      <c r="JU17">
        <v>676</v>
      </c>
      <c r="JV17">
        <v>129531</v>
      </c>
      <c r="JW17">
        <v>169501</v>
      </c>
      <c r="JX17">
        <v>351915</v>
      </c>
      <c r="JY17">
        <v>385725</v>
      </c>
      <c r="JZ17">
        <v>374601</v>
      </c>
      <c r="KA17">
        <v>240729</v>
      </c>
      <c r="KB17">
        <v>192129</v>
      </c>
      <c r="KC17">
        <v>73786</v>
      </c>
      <c r="KD17">
        <v>146158</v>
      </c>
      <c r="KE17">
        <v>20172</v>
      </c>
      <c r="KF17">
        <v>10400</v>
      </c>
      <c r="KG17">
        <v>119960</v>
      </c>
      <c r="KH17">
        <v>233563</v>
      </c>
      <c r="KI17">
        <v>61307</v>
      </c>
      <c r="KJ17">
        <v>267158</v>
      </c>
      <c r="KK17">
        <v>70869</v>
      </c>
      <c r="KL17">
        <v>23061</v>
      </c>
      <c r="KM17">
        <v>39371</v>
      </c>
      <c r="KN17">
        <v>107829</v>
      </c>
      <c r="KO17">
        <v>43831</v>
      </c>
      <c r="KP17">
        <v>130980</v>
      </c>
      <c r="KQ17">
        <v>1676</v>
      </c>
      <c r="KR17">
        <v>74778</v>
      </c>
      <c r="KS17">
        <v>259518</v>
      </c>
      <c r="KT17">
        <v>353333</v>
      </c>
      <c r="KU17">
        <v>44129</v>
      </c>
      <c r="KV17">
        <v>140242</v>
      </c>
      <c r="KW17">
        <v>113046</v>
      </c>
      <c r="KX17">
        <v>111432</v>
      </c>
      <c r="KY17">
        <v>1374731</v>
      </c>
      <c r="KZ17">
        <v>115168</v>
      </c>
      <c r="LA17">
        <v>221928</v>
      </c>
      <c r="LB17">
        <v>188014</v>
      </c>
      <c r="LC17">
        <v>123512</v>
      </c>
      <c r="LD17">
        <v>52886</v>
      </c>
      <c r="LE17">
        <v>147574</v>
      </c>
      <c r="LF17">
        <v>2842</v>
      </c>
      <c r="LG17">
        <v>1870105</v>
      </c>
      <c r="LH17">
        <v>14180</v>
      </c>
      <c r="LI17">
        <v>76585</v>
      </c>
      <c r="LJ17">
        <v>6505</v>
      </c>
      <c r="LK17">
        <v>61442</v>
      </c>
      <c r="LL17">
        <v>5217</v>
      </c>
      <c r="LM17">
        <v>20341</v>
      </c>
      <c r="LN17">
        <v>1145</v>
      </c>
      <c r="LO17">
        <v>8555</v>
      </c>
      <c r="LP17">
        <v>17047.089840000001</v>
      </c>
      <c r="LQ17">
        <v>289.00481000000002</v>
      </c>
    </row>
    <row r="18" spans="1:329" x14ac:dyDescent="0.25">
      <c r="A18" s="5" t="s">
        <v>340</v>
      </c>
      <c r="B18" s="5" t="s">
        <v>274</v>
      </c>
      <c r="C18" s="1">
        <v>3919366</v>
      </c>
      <c r="D18" s="1">
        <v>6913506</v>
      </c>
      <c r="E18" s="1">
        <v>9003500</v>
      </c>
      <c r="F18" s="1">
        <v>10076936</v>
      </c>
      <c r="G18" s="1">
        <v>10704398</v>
      </c>
      <c r="H18" s="1">
        <v>1342225</v>
      </c>
      <c r="I18" s="1">
        <v>2397486</v>
      </c>
      <c r="J18" s="1">
        <v>3159414</v>
      </c>
      <c r="K18" s="1">
        <v>3639410</v>
      </c>
      <c r="L18" s="1">
        <v>3826545</v>
      </c>
      <c r="M18" s="1">
        <v>3741305</v>
      </c>
      <c r="N18" s="1">
        <v>3010022</v>
      </c>
      <c r="O18" s="1">
        <v>629387</v>
      </c>
      <c r="P18" s="1">
        <v>101896</v>
      </c>
      <c r="Q18" s="1">
        <v>190517</v>
      </c>
      <c r="R18" s="1">
        <v>20815</v>
      </c>
      <c r="S18" s="1">
        <v>155</v>
      </c>
      <c r="T18" s="1">
        <v>8924840</v>
      </c>
      <c r="U18" s="1">
        <v>1110368</v>
      </c>
      <c r="V18" s="1">
        <v>41728</v>
      </c>
      <c r="W18" s="1">
        <v>2460</v>
      </c>
      <c r="X18" s="1">
        <v>131</v>
      </c>
      <c r="Y18" s="2">
        <v>35.770000000000003</v>
      </c>
      <c r="Z18" s="1">
        <v>665140</v>
      </c>
      <c r="AA18" s="1">
        <v>722449</v>
      </c>
      <c r="AB18" s="1">
        <v>774150</v>
      </c>
      <c r="AC18" s="1">
        <v>682010</v>
      </c>
      <c r="AD18" s="1">
        <v>530909</v>
      </c>
      <c r="AE18" s="1">
        <v>663305</v>
      </c>
      <c r="AF18" s="1">
        <v>728090</v>
      </c>
      <c r="AG18" s="1">
        <v>770135</v>
      </c>
      <c r="AH18" s="1">
        <v>709744</v>
      </c>
      <c r="AI18" s="1">
        <v>713296</v>
      </c>
      <c r="AJ18" s="1">
        <v>666039</v>
      </c>
      <c r="AK18" s="1">
        <v>655347</v>
      </c>
      <c r="AL18" s="1">
        <v>564634</v>
      </c>
      <c r="AM18" s="1">
        <v>442028</v>
      </c>
      <c r="AN18" s="1">
        <v>330055</v>
      </c>
      <c r="AO18" s="1">
        <v>212558</v>
      </c>
      <c r="AP18" s="1">
        <v>128025</v>
      </c>
      <c r="AQ18" s="1">
        <v>119020</v>
      </c>
      <c r="AR18" s="1">
        <v>4943560</v>
      </c>
      <c r="AS18" s="1">
        <v>5133376</v>
      </c>
      <c r="AT18" s="1">
        <v>6860767</v>
      </c>
      <c r="AU18" s="1">
        <v>1193991</v>
      </c>
      <c r="AV18" s="1">
        <v>42810</v>
      </c>
      <c r="AW18" s="1">
        <v>488257</v>
      </c>
      <c r="AX18" s="1">
        <v>12169</v>
      </c>
      <c r="AY18" s="1">
        <v>10587</v>
      </c>
      <c r="AZ18" s="1">
        <v>230148</v>
      </c>
      <c r="BA18" s="1">
        <v>1238615</v>
      </c>
      <c r="BB18" s="1">
        <v>7915195</v>
      </c>
      <c r="BC18" s="1">
        <v>2176671</v>
      </c>
      <c r="BD18" s="1">
        <v>4323638</v>
      </c>
      <c r="BE18" s="1">
        <v>267998</v>
      </c>
      <c r="BF18" s="1">
        <v>334774</v>
      </c>
      <c r="BG18" s="1">
        <v>812114</v>
      </c>
      <c r="BH18" s="1">
        <v>6699548</v>
      </c>
      <c r="BI18" s="1">
        <v>163507</v>
      </c>
      <c r="BJ18" s="1">
        <v>291379</v>
      </c>
      <c r="BK18" s="1">
        <v>1600113</v>
      </c>
      <c r="BL18" s="1">
        <v>1541964</v>
      </c>
      <c r="BM18" s="1">
        <v>693434</v>
      </c>
      <c r="BN18" s="1">
        <v>1583848</v>
      </c>
      <c r="BO18" s="1">
        <v>825303</v>
      </c>
      <c r="BP18" s="1">
        <v>7770281</v>
      </c>
      <c r="BQ18" s="1">
        <v>35416</v>
      </c>
      <c r="BR18" s="1">
        <v>5265408</v>
      </c>
      <c r="BS18" s="1">
        <v>142079</v>
      </c>
      <c r="BT18" s="1">
        <v>2327378</v>
      </c>
      <c r="BU18" s="1">
        <v>2756700</v>
      </c>
      <c r="BV18" s="1">
        <v>882710</v>
      </c>
      <c r="BW18" s="1">
        <v>1058413</v>
      </c>
      <c r="BX18" s="1">
        <v>97964</v>
      </c>
      <c r="BY18" s="1">
        <v>263240</v>
      </c>
      <c r="BZ18" s="1">
        <v>1141056</v>
      </c>
      <c r="CA18" s="1">
        <v>60351</v>
      </c>
      <c r="CB18" s="1">
        <v>134970</v>
      </c>
      <c r="CC18" s="2">
        <v>2.76</v>
      </c>
      <c r="CD18" s="1">
        <v>705215</v>
      </c>
      <c r="CE18" s="1">
        <v>1210141</v>
      </c>
      <c r="CF18" s="1">
        <v>661875</v>
      </c>
      <c r="CG18" s="1">
        <v>620945</v>
      </c>
      <c r="CH18" s="1">
        <v>278726</v>
      </c>
      <c r="CI18" s="1">
        <v>103452</v>
      </c>
      <c r="CJ18" s="1">
        <v>59056</v>
      </c>
      <c r="CK18" s="2">
        <v>48.7</v>
      </c>
      <c r="CL18" s="1">
        <v>131405</v>
      </c>
      <c r="CM18" s="1">
        <v>601454</v>
      </c>
      <c r="CN18" s="1">
        <v>741986</v>
      </c>
      <c r="CO18" s="1">
        <v>733806</v>
      </c>
      <c r="CP18" s="1">
        <v>681260</v>
      </c>
      <c r="CQ18" s="1">
        <v>459669</v>
      </c>
      <c r="CR18" s="1">
        <v>215536</v>
      </c>
      <c r="CS18" s="1">
        <v>74295</v>
      </c>
      <c r="CT18" s="1">
        <v>81878</v>
      </c>
      <c r="CU18" s="1">
        <v>852829</v>
      </c>
      <c r="CV18" s="1">
        <v>2704705</v>
      </c>
      <c r="CW18" s="1">
        <v>34846</v>
      </c>
      <c r="CX18" s="1">
        <v>82748</v>
      </c>
      <c r="CY18" s="1">
        <v>92584</v>
      </c>
      <c r="CZ18" s="1">
        <v>93264</v>
      </c>
      <c r="DA18" s="1">
        <v>61851</v>
      </c>
      <c r="DB18" s="1">
        <v>78160</v>
      </c>
      <c r="DC18" s="1">
        <v>96415</v>
      </c>
      <c r="DD18" s="1">
        <v>95248</v>
      </c>
      <c r="DE18" s="1">
        <v>104731</v>
      </c>
      <c r="DF18" s="1">
        <v>116429</v>
      </c>
      <c r="DG18" s="1">
        <v>130504</v>
      </c>
      <c r="DH18" s="1">
        <v>130831</v>
      </c>
      <c r="DI18" s="1">
        <v>276293</v>
      </c>
      <c r="DJ18" s="1">
        <v>426727</v>
      </c>
      <c r="DK18" s="1">
        <v>675055</v>
      </c>
      <c r="DL18" s="1">
        <v>430099</v>
      </c>
      <c r="DM18" s="1">
        <v>353684</v>
      </c>
      <c r="DN18" s="1">
        <v>350712</v>
      </c>
      <c r="DO18" s="1">
        <v>219406</v>
      </c>
      <c r="DP18" s="1">
        <v>57891</v>
      </c>
      <c r="DQ18" s="1">
        <v>76620</v>
      </c>
      <c r="DR18" s="1">
        <v>90361</v>
      </c>
      <c r="DS18" s="1">
        <v>98304</v>
      </c>
      <c r="DT18" s="1">
        <v>88560</v>
      </c>
      <c r="DU18" s="1">
        <v>72235</v>
      </c>
      <c r="DV18" s="1">
        <v>56680</v>
      </c>
      <c r="DW18" s="2">
        <v>68923.899999999994</v>
      </c>
      <c r="DX18" s="2">
        <v>32742.59</v>
      </c>
      <c r="DY18" s="2">
        <v>2238.7600000000002</v>
      </c>
      <c r="DZ18" s="2">
        <v>496</v>
      </c>
      <c r="EA18" s="2">
        <v>2439.7399999999998</v>
      </c>
      <c r="EB18" s="2">
        <v>2045.74</v>
      </c>
      <c r="EC18" s="2">
        <v>3943.92</v>
      </c>
      <c r="ED18" s="2">
        <v>10159.780000000001</v>
      </c>
      <c r="EE18" s="2">
        <v>5827.48</v>
      </c>
      <c r="EF18" s="2">
        <v>2452.67</v>
      </c>
      <c r="EG18" s="2">
        <v>14383.79</v>
      </c>
      <c r="EH18" s="2">
        <v>2703.17</v>
      </c>
      <c r="EI18" s="2">
        <v>1303.25</v>
      </c>
      <c r="EJ18" s="2">
        <v>927.1</v>
      </c>
      <c r="EK18" s="2">
        <v>149.4</v>
      </c>
      <c r="EL18" s="2">
        <v>401.82</v>
      </c>
      <c r="EM18" s="2">
        <v>12740.8</v>
      </c>
      <c r="EN18" s="2">
        <v>5044.6499999999996</v>
      </c>
      <c r="EO18" s="2">
        <v>1665.83</v>
      </c>
      <c r="EP18" s="1">
        <v>39020</v>
      </c>
      <c r="EQ18" s="1">
        <v>4902</v>
      </c>
      <c r="ER18" s="1">
        <v>736</v>
      </c>
      <c r="ES18" s="1">
        <v>8490</v>
      </c>
      <c r="ET18" s="1">
        <v>43088</v>
      </c>
      <c r="EU18" s="1">
        <v>79618</v>
      </c>
      <c r="EV18" s="1">
        <v>126997</v>
      </c>
      <c r="EW18" s="1">
        <v>7784</v>
      </c>
      <c r="EX18" s="1">
        <v>25693</v>
      </c>
      <c r="EY18" s="1">
        <v>4331</v>
      </c>
      <c r="EZ18" s="1">
        <v>340623</v>
      </c>
      <c r="FA18" s="1">
        <v>25408</v>
      </c>
      <c r="FB18" s="1">
        <v>223575</v>
      </c>
      <c r="FC18" s="1">
        <v>49424</v>
      </c>
      <c r="FD18" s="1">
        <v>33016</v>
      </c>
      <c r="FE18" s="1">
        <v>158098</v>
      </c>
      <c r="FF18" s="1">
        <v>5463</v>
      </c>
      <c r="FG18" s="1">
        <v>468299</v>
      </c>
      <c r="FH18" s="1">
        <v>80982</v>
      </c>
      <c r="FI18" s="1">
        <v>17801</v>
      </c>
      <c r="FJ18" s="1">
        <v>1115</v>
      </c>
      <c r="FK18" s="1">
        <v>2853</v>
      </c>
      <c r="FL18" s="1">
        <v>8908</v>
      </c>
      <c r="FM18" s="1">
        <v>1459</v>
      </c>
      <c r="FN18" s="1">
        <v>104504</v>
      </c>
      <c r="FO18" s="1">
        <v>706218</v>
      </c>
      <c r="FP18" s="1">
        <v>64</v>
      </c>
      <c r="FQ18" s="1">
        <v>42</v>
      </c>
      <c r="FR18" s="1">
        <v>38</v>
      </c>
      <c r="FS18" s="1">
        <v>64</v>
      </c>
      <c r="FT18" s="1">
        <v>36</v>
      </c>
      <c r="FU18" s="1">
        <v>42</v>
      </c>
      <c r="FV18" s="1">
        <v>67</v>
      </c>
      <c r="FW18" s="1">
        <v>68</v>
      </c>
      <c r="FX18" s="1">
        <v>69</v>
      </c>
      <c r="FY18" s="1">
        <v>46</v>
      </c>
      <c r="FZ18" s="3">
        <v>0.222</v>
      </c>
      <c r="GA18" s="3">
        <v>0.85799999999999998</v>
      </c>
      <c r="GB18" s="3">
        <v>-0.45700000000000002</v>
      </c>
      <c r="GC18" s="3">
        <v>-0.23899999999999999</v>
      </c>
      <c r="GD18" s="3">
        <v>0.67500000000000004</v>
      </c>
      <c r="GE18" s="3">
        <v>-7.0000000000000007E-2</v>
      </c>
      <c r="GF18" s="3">
        <v>-0.19600000000000001</v>
      </c>
      <c r="GG18" s="3">
        <v>1.7000000000000001E-2</v>
      </c>
      <c r="GH18" s="3">
        <v>0.64300000000000002</v>
      </c>
      <c r="GI18" s="3">
        <v>-0.126</v>
      </c>
      <c r="GJ18" s="3">
        <v>-0.64700000000000002</v>
      </c>
      <c r="GK18" s="3">
        <v>-0.218</v>
      </c>
      <c r="GL18" s="3">
        <v>1.2050000000000001</v>
      </c>
      <c r="GM18" s="3">
        <v>-0.34499999999999997</v>
      </c>
      <c r="GN18" s="3">
        <v>0.29299999999999998</v>
      </c>
      <c r="GO18" s="3">
        <v>-1.2E-2</v>
      </c>
      <c r="GP18" s="3">
        <v>-0.27800000000000002</v>
      </c>
      <c r="GQ18" s="3">
        <v>0.108</v>
      </c>
      <c r="GR18" s="3">
        <v>5.6000000000000001E-2</v>
      </c>
      <c r="GS18" s="3">
        <v>-0.25600000000000001</v>
      </c>
      <c r="GT18" s="3">
        <v>-0.11799999999999999</v>
      </c>
      <c r="GU18" s="3">
        <v>0.112</v>
      </c>
      <c r="GV18" s="3">
        <v>-1.4E-2</v>
      </c>
      <c r="GW18" s="3">
        <v>0.10100000000000001</v>
      </c>
      <c r="GX18" s="3">
        <v>-4.2999999999999997E-2</v>
      </c>
      <c r="GY18" s="3">
        <v>-7.2999999999999995E-2</v>
      </c>
      <c r="GZ18" s="4">
        <v>110</v>
      </c>
      <c r="HA18" s="4">
        <v>121</v>
      </c>
      <c r="HB18" s="4">
        <v>106</v>
      </c>
      <c r="HC18" s="4">
        <v>113</v>
      </c>
      <c r="HD18" s="4">
        <v>88</v>
      </c>
      <c r="HE18" s="4">
        <v>99</v>
      </c>
      <c r="HF18" s="1">
        <v>17961</v>
      </c>
      <c r="HG18" s="1">
        <v>15358</v>
      </c>
      <c r="HH18" s="1">
        <v>14360</v>
      </c>
      <c r="HI18" s="1">
        <v>11999</v>
      </c>
      <c r="HJ18" s="1">
        <v>9753</v>
      </c>
      <c r="HK18" s="1">
        <v>10479</v>
      </c>
      <c r="HL18" s="1">
        <v>6959</v>
      </c>
      <c r="HM18" s="1">
        <v>18699</v>
      </c>
      <c r="HN18" s="1">
        <v>24010</v>
      </c>
      <c r="HO18" s="1">
        <v>28512</v>
      </c>
      <c r="HP18" s="1">
        <v>39892</v>
      </c>
      <c r="HQ18" s="1">
        <v>55702</v>
      </c>
      <c r="HR18" s="1">
        <v>64307</v>
      </c>
      <c r="HS18" s="1">
        <v>238229</v>
      </c>
      <c r="HT18" s="1">
        <v>305898</v>
      </c>
      <c r="HU18" s="1">
        <v>390792</v>
      </c>
      <c r="HV18" s="1">
        <v>289666</v>
      </c>
      <c r="HW18" s="1">
        <v>434144</v>
      </c>
      <c r="HX18" s="1">
        <v>265655</v>
      </c>
      <c r="HY18" s="1">
        <v>223375</v>
      </c>
      <c r="HZ18" s="1">
        <v>75934</v>
      </c>
      <c r="IA18" s="1">
        <v>54647</v>
      </c>
      <c r="IB18" s="1">
        <v>14623</v>
      </c>
      <c r="IC18" s="1">
        <v>15773</v>
      </c>
      <c r="ID18" s="1">
        <v>180217</v>
      </c>
      <c r="IE18" s="1">
        <v>3671</v>
      </c>
      <c r="IF18" s="1">
        <v>3856</v>
      </c>
      <c r="IG18" s="1">
        <v>3959</v>
      </c>
      <c r="IH18" s="1">
        <v>4943</v>
      </c>
      <c r="II18" s="1">
        <v>5126</v>
      </c>
      <c r="IJ18" s="1">
        <v>8057</v>
      </c>
      <c r="IK18" s="1">
        <v>9276</v>
      </c>
      <c r="IL18" s="1">
        <v>15022</v>
      </c>
      <c r="IM18" s="1">
        <v>16377</v>
      </c>
      <c r="IN18" s="1">
        <v>23909</v>
      </c>
      <c r="IO18" s="1">
        <v>21140</v>
      </c>
      <c r="IP18" s="1">
        <v>27507</v>
      </c>
      <c r="IQ18" s="1">
        <v>28050</v>
      </c>
      <c r="IR18" s="1">
        <v>27371</v>
      </c>
      <c r="IS18" s="1">
        <v>25871</v>
      </c>
      <c r="IT18" s="1">
        <v>52665</v>
      </c>
      <c r="IU18" s="1">
        <v>45410</v>
      </c>
      <c r="IV18" s="1">
        <v>97293</v>
      </c>
      <c r="IW18">
        <v>52046</v>
      </c>
      <c r="IX18">
        <v>28290</v>
      </c>
      <c r="IY18">
        <v>9510</v>
      </c>
      <c r="IZ18">
        <v>35324</v>
      </c>
      <c r="JA18">
        <v>867</v>
      </c>
      <c r="JB18">
        <v>2714577</v>
      </c>
      <c r="JC18">
        <v>127419</v>
      </c>
      <c r="JD18">
        <v>5059</v>
      </c>
      <c r="JE18">
        <v>11247</v>
      </c>
      <c r="JF18">
        <v>11891</v>
      </c>
      <c r="JG18">
        <v>6085</v>
      </c>
      <c r="JH18">
        <v>2569</v>
      </c>
      <c r="JI18">
        <v>2648</v>
      </c>
      <c r="JJ18">
        <v>71431</v>
      </c>
      <c r="JK18">
        <v>917</v>
      </c>
      <c r="JL18">
        <v>318944</v>
      </c>
      <c r="JM18">
        <v>41806</v>
      </c>
      <c r="JN18">
        <v>22435</v>
      </c>
      <c r="JO18">
        <v>32290</v>
      </c>
      <c r="JP18">
        <v>44888</v>
      </c>
      <c r="JQ18">
        <v>40399</v>
      </c>
      <c r="JR18">
        <v>26891</v>
      </c>
      <c r="JS18">
        <v>26469</v>
      </c>
      <c r="JT18">
        <v>21490</v>
      </c>
      <c r="JU18">
        <v>287</v>
      </c>
      <c r="JV18">
        <v>348143</v>
      </c>
      <c r="JW18">
        <v>506496</v>
      </c>
      <c r="JX18">
        <v>1138434</v>
      </c>
      <c r="JY18">
        <v>689653</v>
      </c>
      <c r="JZ18">
        <v>361536</v>
      </c>
      <c r="KA18">
        <v>169479</v>
      </c>
      <c r="KB18">
        <v>140259</v>
      </c>
      <c r="KC18">
        <v>59222</v>
      </c>
      <c r="KD18">
        <v>116520</v>
      </c>
      <c r="KE18">
        <v>24296</v>
      </c>
      <c r="KF18">
        <v>22608</v>
      </c>
      <c r="KG18">
        <v>275345</v>
      </c>
      <c r="KH18">
        <v>499373</v>
      </c>
      <c r="KI18">
        <v>160459</v>
      </c>
      <c r="KJ18">
        <v>594770</v>
      </c>
      <c r="KK18">
        <v>218930</v>
      </c>
      <c r="KL18">
        <v>49294</v>
      </c>
      <c r="KM18">
        <v>117509</v>
      </c>
      <c r="KN18">
        <v>295847</v>
      </c>
      <c r="KO18">
        <v>92667</v>
      </c>
      <c r="KP18">
        <v>332032</v>
      </c>
      <c r="KQ18">
        <v>4919</v>
      </c>
      <c r="KR18">
        <v>191141</v>
      </c>
      <c r="KS18">
        <v>487584</v>
      </c>
      <c r="KT18">
        <v>659374</v>
      </c>
      <c r="KU18">
        <v>104817</v>
      </c>
      <c r="KV18">
        <v>310656</v>
      </c>
      <c r="KW18">
        <v>235554</v>
      </c>
      <c r="KX18">
        <v>287718</v>
      </c>
      <c r="KY18">
        <v>3381452</v>
      </c>
      <c r="KZ18">
        <v>173133</v>
      </c>
      <c r="LA18">
        <v>359815</v>
      </c>
      <c r="LB18">
        <v>407122</v>
      </c>
      <c r="LC18">
        <v>222852</v>
      </c>
      <c r="LD18">
        <v>168411</v>
      </c>
      <c r="LE18">
        <v>247072</v>
      </c>
      <c r="LF18">
        <v>5036</v>
      </c>
      <c r="LG18">
        <v>2971818</v>
      </c>
      <c r="LH18">
        <v>39659</v>
      </c>
      <c r="LI18">
        <v>262822</v>
      </c>
      <c r="LJ18">
        <v>12193</v>
      </c>
      <c r="LK18">
        <v>116668</v>
      </c>
      <c r="LL18">
        <v>20392</v>
      </c>
      <c r="LM18">
        <v>79317</v>
      </c>
      <c r="LN18">
        <v>2375</v>
      </c>
      <c r="LO18">
        <v>24498</v>
      </c>
      <c r="LP18">
        <v>12772.38867</v>
      </c>
      <c r="LQ18">
        <v>822.18817999999999</v>
      </c>
    </row>
    <row r="19" spans="1:329" x14ac:dyDescent="0.25">
      <c r="A19" s="5" t="s">
        <v>341</v>
      </c>
      <c r="B19" s="5" t="s">
        <v>275</v>
      </c>
      <c r="C19" s="1">
        <v>4549346</v>
      </c>
      <c r="D19" s="1">
        <v>5591676</v>
      </c>
      <c r="E19" s="1">
        <v>6310756</v>
      </c>
      <c r="F19" s="1">
        <v>6662366</v>
      </c>
      <c r="G19" s="1">
        <v>6854082</v>
      </c>
      <c r="H19" s="1">
        <v>1547843</v>
      </c>
      <c r="I19" s="1">
        <v>1982853</v>
      </c>
      <c r="J19" s="1">
        <v>2323745</v>
      </c>
      <c r="K19" s="1">
        <v>2555791</v>
      </c>
      <c r="L19" s="1">
        <v>2633873</v>
      </c>
      <c r="M19" s="1">
        <v>2647018</v>
      </c>
      <c r="N19" s="1">
        <v>2222143</v>
      </c>
      <c r="O19" s="1">
        <v>333648</v>
      </c>
      <c r="P19" s="1">
        <v>91227</v>
      </c>
      <c r="Q19" s="1">
        <v>130787</v>
      </c>
      <c r="R19" s="1">
        <v>27320</v>
      </c>
      <c r="S19" s="1">
        <v>248</v>
      </c>
      <c r="T19" s="1">
        <v>5897133</v>
      </c>
      <c r="U19" s="1">
        <v>729242</v>
      </c>
      <c r="V19" s="1">
        <v>35991</v>
      </c>
      <c r="W19" s="1">
        <v>4501</v>
      </c>
      <c r="X19" s="1">
        <v>33</v>
      </c>
      <c r="Y19" s="2">
        <v>41</v>
      </c>
      <c r="Z19" s="1">
        <v>364071</v>
      </c>
      <c r="AA19" s="1">
        <v>421411</v>
      </c>
      <c r="AB19" s="1">
        <v>472874</v>
      </c>
      <c r="AC19" s="1">
        <v>433117</v>
      </c>
      <c r="AD19" s="1">
        <v>316717</v>
      </c>
      <c r="AE19" s="1">
        <v>345192</v>
      </c>
      <c r="AF19" s="1">
        <v>377844</v>
      </c>
      <c r="AG19" s="1">
        <v>430907</v>
      </c>
      <c r="AH19" s="1">
        <v>422107</v>
      </c>
      <c r="AI19" s="1">
        <v>462675</v>
      </c>
      <c r="AJ19" s="1">
        <v>484168</v>
      </c>
      <c r="AK19" s="1">
        <v>535611</v>
      </c>
      <c r="AL19" s="1">
        <v>498113</v>
      </c>
      <c r="AM19" s="1">
        <v>401109</v>
      </c>
      <c r="AN19" s="1">
        <v>295828</v>
      </c>
      <c r="AO19" s="1">
        <v>187574</v>
      </c>
      <c r="AP19" s="1">
        <v>110669</v>
      </c>
      <c r="AQ19" s="1">
        <v>102384</v>
      </c>
      <c r="AR19" s="1">
        <v>3313114</v>
      </c>
      <c r="AS19" s="1">
        <v>3349252</v>
      </c>
      <c r="AT19" s="1">
        <v>5764168</v>
      </c>
      <c r="AU19" s="1">
        <v>260034</v>
      </c>
      <c r="AV19" s="1">
        <v>27683</v>
      </c>
      <c r="AW19" s="1">
        <v>158216</v>
      </c>
      <c r="AX19" s="1">
        <v>3034</v>
      </c>
      <c r="AY19" s="1">
        <v>3757</v>
      </c>
      <c r="AZ19" s="1">
        <v>110328</v>
      </c>
      <c r="BA19" s="1">
        <v>335662</v>
      </c>
      <c r="BB19" s="1">
        <v>5404011</v>
      </c>
      <c r="BC19" s="1">
        <v>1276381</v>
      </c>
      <c r="BD19" s="1">
        <v>3268369</v>
      </c>
      <c r="BE19" s="1">
        <v>125473</v>
      </c>
      <c r="BF19" s="1">
        <v>261639</v>
      </c>
      <c r="BG19" s="1">
        <v>472149</v>
      </c>
      <c r="BH19" s="1">
        <v>4654179</v>
      </c>
      <c r="BI19" s="1">
        <v>79524</v>
      </c>
      <c r="BJ19" s="1">
        <v>171017</v>
      </c>
      <c r="BK19" s="1">
        <v>1205927</v>
      </c>
      <c r="BL19" s="1">
        <v>979316</v>
      </c>
      <c r="BM19" s="1">
        <v>487918</v>
      </c>
      <c r="BN19" s="1">
        <v>1092749</v>
      </c>
      <c r="BO19" s="1">
        <v>637728</v>
      </c>
      <c r="BP19" s="1">
        <v>5314358</v>
      </c>
      <c r="BQ19" s="1">
        <v>9680</v>
      </c>
      <c r="BR19" s="1">
        <v>3480048</v>
      </c>
      <c r="BS19" s="1">
        <v>79766</v>
      </c>
      <c r="BT19" s="1">
        <v>1744864</v>
      </c>
      <c r="BU19" s="1">
        <v>1954172</v>
      </c>
      <c r="BV19" s="1">
        <v>601619</v>
      </c>
      <c r="BW19" s="1">
        <v>669804</v>
      </c>
      <c r="BX19" s="1">
        <v>53598</v>
      </c>
      <c r="BY19" s="1">
        <v>117766</v>
      </c>
      <c r="BZ19" s="1">
        <v>1000401</v>
      </c>
      <c r="CA19" s="1">
        <v>36970</v>
      </c>
      <c r="CB19" s="1">
        <v>74865</v>
      </c>
      <c r="CC19" s="2">
        <v>2.59</v>
      </c>
      <c r="CD19" s="1">
        <v>499452</v>
      </c>
      <c r="CE19" s="1">
        <v>1018558</v>
      </c>
      <c r="CF19" s="1">
        <v>408705</v>
      </c>
      <c r="CG19" s="1">
        <v>381818</v>
      </c>
      <c r="CH19" s="1">
        <v>163599</v>
      </c>
      <c r="CI19" s="1">
        <v>55762</v>
      </c>
      <c r="CJ19" s="1">
        <v>27897</v>
      </c>
      <c r="CK19" s="2">
        <v>53.27</v>
      </c>
      <c r="CL19" s="1">
        <v>79725</v>
      </c>
      <c r="CM19" s="1">
        <v>313928</v>
      </c>
      <c r="CN19" s="1">
        <v>424631</v>
      </c>
      <c r="CO19" s="1">
        <v>495705</v>
      </c>
      <c r="CP19" s="1">
        <v>569982</v>
      </c>
      <c r="CQ19" s="1">
        <v>411477</v>
      </c>
      <c r="CR19" s="1">
        <v>192291</v>
      </c>
      <c r="CS19" s="1">
        <v>68053</v>
      </c>
      <c r="CT19" s="1">
        <v>58455</v>
      </c>
      <c r="CU19" s="1">
        <v>520019</v>
      </c>
      <c r="CV19" s="1">
        <v>1977318</v>
      </c>
      <c r="CW19" s="1">
        <v>40735</v>
      </c>
      <c r="CX19" s="1">
        <v>87169</v>
      </c>
      <c r="CY19" s="1">
        <v>98617</v>
      </c>
      <c r="CZ19" s="1">
        <v>56944</v>
      </c>
      <c r="DA19" s="1">
        <v>41000</v>
      </c>
      <c r="DB19" s="1">
        <v>55411</v>
      </c>
      <c r="DC19" s="1">
        <v>66515</v>
      </c>
      <c r="DD19" s="1">
        <v>66337</v>
      </c>
      <c r="DE19" s="1">
        <v>72175</v>
      </c>
      <c r="DF19" s="1">
        <v>78066</v>
      </c>
      <c r="DG19" s="1">
        <v>85766</v>
      </c>
      <c r="DH19" s="1">
        <v>85486</v>
      </c>
      <c r="DI19" s="1">
        <v>178586</v>
      </c>
      <c r="DJ19" s="1">
        <v>273471</v>
      </c>
      <c r="DK19" s="1">
        <v>448097</v>
      </c>
      <c r="DL19" s="1">
        <v>300419</v>
      </c>
      <c r="DM19" s="1">
        <v>265091</v>
      </c>
      <c r="DN19" s="1">
        <v>275733</v>
      </c>
      <c r="DO19" s="1">
        <v>206694</v>
      </c>
      <c r="DP19" s="1">
        <v>58977</v>
      </c>
      <c r="DQ19" s="1">
        <v>78796</v>
      </c>
      <c r="DR19" s="1">
        <v>95645</v>
      </c>
      <c r="DS19" s="1">
        <v>108608</v>
      </c>
      <c r="DT19" s="1">
        <v>95533</v>
      </c>
      <c r="DU19" s="1">
        <v>75762</v>
      </c>
      <c r="DV19" s="1">
        <v>58866</v>
      </c>
      <c r="DW19" s="2">
        <v>73786.5</v>
      </c>
      <c r="DX19" s="2">
        <v>34980.639999999999</v>
      </c>
      <c r="DY19" s="2">
        <v>2457.17</v>
      </c>
      <c r="DZ19" s="2">
        <v>542.20000000000005</v>
      </c>
      <c r="EA19" s="2">
        <v>2605.92</v>
      </c>
      <c r="EB19" s="2">
        <v>2240.5</v>
      </c>
      <c r="EC19" s="2">
        <v>4247.22</v>
      </c>
      <c r="ED19" s="2">
        <v>10809.6</v>
      </c>
      <c r="EE19" s="2">
        <v>6246.63</v>
      </c>
      <c r="EF19" s="2">
        <v>2640.69</v>
      </c>
      <c r="EG19" s="2">
        <v>15362.7</v>
      </c>
      <c r="EH19" s="2">
        <v>2915.21</v>
      </c>
      <c r="EI19" s="2">
        <v>1401.43</v>
      </c>
      <c r="EJ19" s="2">
        <v>992.77</v>
      </c>
      <c r="EK19" s="2">
        <v>161.79</v>
      </c>
      <c r="EL19" s="2">
        <v>417.23</v>
      </c>
      <c r="EM19" s="2">
        <v>13577.61</v>
      </c>
      <c r="EN19" s="2">
        <v>5339.79</v>
      </c>
      <c r="EO19" s="2">
        <v>1828.04</v>
      </c>
      <c r="EP19" s="1">
        <v>49004</v>
      </c>
      <c r="EQ19" s="1">
        <v>6540</v>
      </c>
      <c r="ER19" s="1">
        <v>1027</v>
      </c>
      <c r="ES19" s="1">
        <v>11843</v>
      </c>
      <c r="ET19" s="1">
        <v>49838</v>
      </c>
      <c r="EU19" s="1">
        <v>94557</v>
      </c>
      <c r="EV19" s="1">
        <v>158488</v>
      </c>
      <c r="EW19" s="1">
        <v>10379</v>
      </c>
      <c r="EX19" s="1">
        <v>28802</v>
      </c>
      <c r="EY19" s="1">
        <v>4564</v>
      </c>
      <c r="EZ19" s="1">
        <v>413760</v>
      </c>
      <c r="FA19" s="1">
        <v>25383</v>
      </c>
      <c r="FB19" s="1">
        <v>258640</v>
      </c>
      <c r="FC19" s="1">
        <v>55609</v>
      </c>
      <c r="FD19" s="1">
        <v>36005</v>
      </c>
      <c r="FE19" s="1">
        <v>190147</v>
      </c>
      <c r="FF19" s="1">
        <v>5352</v>
      </c>
      <c r="FG19" s="1">
        <v>519449</v>
      </c>
      <c r="FH19" s="1">
        <v>92238</v>
      </c>
      <c r="FI19" s="1">
        <v>17364</v>
      </c>
      <c r="FJ19" s="1">
        <v>1151</v>
      </c>
      <c r="FK19" s="1">
        <v>2940</v>
      </c>
      <c r="FL19" s="1">
        <v>9698</v>
      </c>
      <c r="FM19" s="1">
        <v>1562</v>
      </c>
      <c r="FN19" s="1">
        <v>107409</v>
      </c>
      <c r="FO19" s="1">
        <v>826887</v>
      </c>
      <c r="FP19" s="1">
        <v>49</v>
      </c>
      <c r="FQ19" s="1">
        <v>32</v>
      </c>
      <c r="FR19" s="1">
        <v>28</v>
      </c>
      <c r="FS19" s="1">
        <v>79</v>
      </c>
      <c r="FT19" s="1">
        <v>17</v>
      </c>
      <c r="FU19" s="1">
        <v>31</v>
      </c>
      <c r="FV19" s="1">
        <v>52</v>
      </c>
      <c r="FW19" s="1">
        <v>44</v>
      </c>
      <c r="FX19" s="1">
        <v>57</v>
      </c>
      <c r="FY19" s="1">
        <v>29</v>
      </c>
      <c r="FZ19" s="3">
        <v>8.3000000000000004E-2</v>
      </c>
      <c r="GA19" s="3">
        <v>0.98599999999999999</v>
      </c>
      <c r="GB19" s="3">
        <v>9.8000000000000004E-2</v>
      </c>
      <c r="GC19" s="3">
        <v>-0.46</v>
      </c>
      <c r="GD19" s="3">
        <v>0.72199999999999998</v>
      </c>
      <c r="GE19" s="3">
        <v>0.45200000000000001</v>
      </c>
      <c r="GF19" s="3">
        <v>-0.27600000000000002</v>
      </c>
      <c r="GG19" s="3">
        <v>-5.1999999999999998E-2</v>
      </c>
      <c r="GH19" s="3">
        <v>0.24099999999999999</v>
      </c>
      <c r="GI19" s="3">
        <v>0.03</v>
      </c>
      <c r="GJ19" s="3">
        <v>-0.54600000000000004</v>
      </c>
      <c r="GK19" s="3">
        <v>-0.23300000000000001</v>
      </c>
      <c r="GL19" s="3">
        <v>0.13100000000000001</v>
      </c>
      <c r="GM19" s="3">
        <v>-0.14899999999999999</v>
      </c>
      <c r="GN19" s="3">
        <v>0.21</v>
      </c>
      <c r="GO19" s="3">
        <v>6.8000000000000005E-2</v>
      </c>
      <c r="GP19" s="3">
        <v>0.26300000000000001</v>
      </c>
      <c r="GQ19" s="3">
        <v>-4.2999999999999997E-2</v>
      </c>
      <c r="GR19" s="3">
        <v>0.129</v>
      </c>
      <c r="GS19" s="3">
        <v>-0.436</v>
      </c>
      <c r="GT19" s="3">
        <v>-4.2000000000000003E-2</v>
      </c>
      <c r="GU19" s="3">
        <v>-5.8000000000000003E-2</v>
      </c>
      <c r="GV19" s="3">
        <v>-8.8999999999999996E-2</v>
      </c>
      <c r="GW19" s="3">
        <v>-6.9000000000000006E-2</v>
      </c>
      <c r="GX19" s="3">
        <v>-5.0999999999999997E-2</v>
      </c>
      <c r="GY19" s="3">
        <v>-8.9999999999999993E-3</v>
      </c>
      <c r="GZ19" s="4">
        <v>110</v>
      </c>
      <c r="HA19" s="4">
        <v>120</v>
      </c>
      <c r="HB19" s="4">
        <v>102</v>
      </c>
      <c r="HC19" s="4">
        <v>131</v>
      </c>
      <c r="HD19" s="4">
        <v>73</v>
      </c>
      <c r="HE19" s="4">
        <v>92</v>
      </c>
      <c r="HF19" s="1">
        <v>14550</v>
      </c>
      <c r="HG19" s="1">
        <v>12370</v>
      </c>
      <c r="HH19" s="1">
        <v>11691</v>
      </c>
      <c r="HI19" s="1">
        <v>9860</v>
      </c>
      <c r="HJ19" s="1">
        <v>8101</v>
      </c>
      <c r="HK19" s="1">
        <v>9146</v>
      </c>
      <c r="HL19" s="1">
        <v>6040</v>
      </c>
      <c r="HM19" s="1">
        <v>16667</v>
      </c>
      <c r="HN19" s="1">
        <v>21777</v>
      </c>
      <c r="HO19" s="1">
        <v>26109</v>
      </c>
      <c r="HP19" s="1">
        <v>35022</v>
      </c>
      <c r="HQ19" s="1">
        <v>46905</v>
      </c>
      <c r="HR19" s="1">
        <v>51102</v>
      </c>
      <c r="HS19" s="1">
        <v>165389</v>
      </c>
      <c r="HT19" s="1">
        <v>193589</v>
      </c>
      <c r="HU19" s="1">
        <v>266843</v>
      </c>
      <c r="HV19" s="1">
        <v>205609</v>
      </c>
      <c r="HW19" s="1">
        <v>328050</v>
      </c>
      <c r="HX19" s="1">
        <v>222617</v>
      </c>
      <c r="HY19" s="1">
        <v>209445</v>
      </c>
      <c r="HZ19" s="1">
        <v>79140</v>
      </c>
      <c r="IA19" s="1">
        <v>59667</v>
      </c>
      <c r="IB19" s="1">
        <v>15134</v>
      </c>
      <c r="IC19" s="1">
        <v>14220</v>
      </c>
      <c r="ID19" s="1">
        <v>189512</v>
      </c>
      <c r="IE19" s="1">
        <v>2355</v>
      </c>
      <c r="IF19" s="1">
        <v>2820</v>
      </c>
      <c r="IG19" s="1">
        <v>3135</v>
      </c>
      <c r="IH19" s="1">
        <v>5003</v>
      </c>
      <c r="II19" s="1">
        <v>4837</v>
      </c>
      <c r="IJ19" s="1">
        <v>8138</v>
      </c>
      <c r="IK19" s="1">
        <v>9907</v>
      </c>
      <c r="IL19" s="1">
        <v>16622</v>
      </c>
      <c r="IM19" s="1">
        <v>16728</v>
      </c>
      <c r="IN19" s="1">
        <v>22242</v>
      </c>
      <c r="IO19" s="1">
        <v>19507</v>
      </c>
      <c r="IP19" s="1">
        <v>22285</v>
      </c>
      <c r="IQ19" s="1">
        <v>20001</v>
      </c>
      <c r="IR19" s="1">
        <v>16316</v>
      </c>
      <c r="IS19" s="1">
        <v>15603</v>
      </c>
      <c r="IT19" s="1">
        <v>26631</v>
      </c>
      <c r="IU19" s="1">
        <v>18600</v>
      </c>
      <c r="IV19" s="1">
        <v>21621</v>
      </c>
      <c r="IW19">
        <v>2862</v>
      </c>
      <c r="IX19">
        <v>2507</v>
      </c>
      <c r="IY19">
        <v>1603</v>
      </c>
      <c r="IZ19">
        <v>14424</v>
      </c>
      <c r="JA19">
        <v>616</v>
      </c>
      <c r="JB19">
        <v>1629186</v>
      </c>
      <c r="JC19">
        <v>48306</v>
      </c>
      <c r="JD19">
        <v>5775</v>
      </c>
      <c r="JE19">
        <v>3807</v>
      </c>
      <c r="JF19">
        <v>2900</v>
      </c>
      <c r="JG19">
        <v>1636</v>
      </c>
      <c r="JH19">
        <v>720</v>
      </c>
      <c r="JI19">
        <v>1026</v>
      </c>
      <c r="JJ19">
        <v>43713</v>
      </c>
      <c r="JK19">
        <v>363</v>
      </c>
      <c r="JL19">
        <v>94931</v>
      </c>
      <c r="JM19">
        <v>16928</v>
      </c>
      <c r="JN19">
        <v>20802</v>
      </c>
      <c r="JO19">
        <v>19712</v>
      </c>
      <c r="JP19">
        <v>20373</v>
      </c>
      <c r="JQ19">
        <v>15848</v>
      </c>
      <c r="JR19">
        <v>9455</v>
      </c>
      <c r="JS19">
        <v>7692</v>
      </c>
      <c r="JT19">
        <v>12557</v>
      </c>
      <c r="JU19">
        <v>130</v>
      </c>
      <c r="JV19">
        <v>133485</v>
      </c>
      <c r="JW19">
        <v>190523</v>
      </c>
      <c r="JX19">
        <v>375145</v>
      </c>
      <c r="JY19">
        <v>305933</v>
      </c>
      <c r="JZ19">
        <v>358270</v>
      </c>
      <c r="KA19">
        <v>186888</v>
      </c>
      <c r="KB19">
        <v>160528</v>
      </c>
      <c r="KC19">
        <v>66792</v>
      </c>
      <c r="KD19">
        <v>178296</v>
      </c>
      <c r="KE19">
        <v>26303</v>
      </c>
      <c r="KF19">
        <v>11933</v>
      </c>
      <c r="KG19">
        <v>155320</v>
      </c>
      <c r="KH19">
        <v>379974</v>
      </c>
      <c r="KI19">
        <v>83787</v>
      </c>
      <c r="KJ19">
        <v>295874</v>
      </c>
      <c r="KK19">
        <v>102278</v>
      </c>
      <c r="KL19">
        <v>33419</v>
      </c>
      <c r="KM19">
        <v>49841</v>
      </c>
      <c r="KN19">
        <v>140153</v>
      </c>
      <c r="KO19">
        <v>41303</v>
      </c>
      <c r="KP19">
        <v>149902</v>
      </c>
      <c r="KQ19">
        <v>2291</v>
      </c>
      <c r="KR19">
        <v>82617</v>
      </c>
      <c r="KS19">
        <v>290923</v>
      </c>
      <c r="KT19">
        <v>379677</v>
      </c>
      <c r="KU19">
        <v>46811</v>
      </c>
      <c r="KV19">
        <v>135722</v>
      </c>
      <c r="KW19">
        <v>124486</v>
      </c>
      <c r="KX19">
        <v>138559</v>
      </c>
      <c r="KY19">
        <v>1732635</v>
      </c>
      <c r="KZ19">
        <v>115930</v>
      </c>
      <c r="LA19">
        <v>248127</v>
      </c>
      <c r="LB19">
        <v>223838</v>
      </c>
      <c r="LC19">
        <v>127099</v>
      </c>
      <c r="LD19">
        <v>70903</v>
      </c>
      <c r="LE19">
        <v>149392</v>
      </c>
      <c r="LF19">
        <v>3249</v>
      </c>
      <c r="LG19">
        <v>1800613</v>
      </c>
      <c r="LH19">
        <v>6212</v>
      </c>
      <c r="LI19">
        <v>62050</v>
      </c>
      <c r="LJ19">
        <v>3589</v>
      </c>
      <c r="LK19">
        <v>53397</v>
      </c>
      <c r="LL19">
        <v>4042</v>
      </c>
      <c r="LM19">
        <v>17787</v>
      </c>
      <c r="LN19">
        <v>659</v>
      </c>
      <c r="LO19">
        <v>7511</v>
      </c>
      <c r="LP19">
        <v>30185.056639999999</v>
      </c>
      <c r="LQ19">
        <v>177.89670000000001</v>
      </c>
    </row>
    <row r="20" spans="1:329" x14ac:dyDescent="0.25">
      <c r="A20" s="5" t="s">
        <v>342</v>
      </c>
      <c r="B20" s="5" t="s">
        <v>276</v>
      </c>
      <c r="C20" s="1">
        <v>3695105</v>
      </c>
      <c r="D20" s="1">
        <v>4367645</v>
      </c>
      <c r="E20" s="1">
        <v>4919460</v>
      </c>
      <c r="F20" s="1">
        <v>5153402</v>
      </c>
      <c r="G20" s="1">
        <v>5332017</v>
      </c>
      <c r="H20" s="1">
        <v>1275169</v>
      </c>
      <c r="I20" s="1">
        <v>1570145</v>
      </c>
      <c r="J20" s="1">
        <v>1831568</v>
      </c>
      <c r="K20" s="1">
        <v>1997251</v>
      </c>
      <c r="L20" s="1">
        <v>2059998</v>
      </c>
      <c r="M20" s="1">
        <v>2095429</v>
      </c>
      <c r="N20" s="1">
        <v>1711013</v>
      </c>
      <c r="O20" s="1">
        <v>286238</v>
      </c>
      <c r="P20" s="1">
        <v>98178</v>
      </c>
      <c r="Q20" s="1">
        <v>133977</v>
      </c>
      <c r="R20" s="1">
        <v>38448</v>
      </c>
      <c r="S20" s="1">
        <v>369</v>
      </c>
      <c r="T20" s="1">
        <v>4501897</v>
      </c>
      <c r="U20" s="1">
        <v>617675</v>
      </c>
      <c r="V20" s="1">
        <v>33830</v>
      </c>
      <c r="W20" s="1">
        <v>2703</v>
      </c>
      <c r="X20" s="1">
        <v>146</v>
      </c>
      <c r="Y20" s="2">
        <v>42.02</v>
      </c>
      <c r="Z20" s="1">
        <v>268442</v>
      </c>
      <c r="AA20" s="1">
        <v>306634</v>
      </c>
      <c r="AB20" s="1">
        <v>346854</v>
      </c>
      <c r="AC20" s="1">
        <v>327911</v>
      </c>
      <c r="AD20" s="1">
        <v>255774</v>
      </c>
      <c r="AE20" s="1">
        <v>267363</v>
      </c>
      <c r="AF20" s="1">
        <v>285502</v>
      </c>
      <c r="AG20" s="1">
        <v>323547</v>
      </c>
      <c r="AH20" s="1">
        <v>321965</v>
      </c>
      <c r="AI20" s="1">
        <v>365379</v>
      </c>
      <c r="AJ20" s="1">
        <v>387084</v>
      </c>
      <c r="AK20" s="1">
        <v>421621</v>
      </c>
      <c r="AL20" s="1">
        <v>387269</v>
      </c>
      <c r="AM20" s="1">
        <v>320369</v>
      </c>
      <c r="AN20" s="1">
        <v>241144</v>
      </c>
      <c r="AO20" s="1">
        <v>153038</v>
      </c>
      <c r="AP20" s="1">
        <v>90050</v>
      </c>
      <c r="AQ20" s="1">
        <v>83454</v>
      </c>
      <c r="AR20" s="1">
        <v>2584571</v>
      </c>
      <c r="AS20" s="1">
        <v>2568831</v>
      </c>
      <c r="AT20" s="1">
        <v>4566410</v>
      </c>
      <c r="AU20" s="1">
        <v>173209</v>
      </c>
      <c r="AV20" s="1">
        <v>18452</v>
      </c>
      <c r="AW20" s="1">
        <v>84351</v>
      </c>
      <c r="AX20" s="1">
        <v>2239</v>
      </c>
      <c r="AY20" s="1">
        <v>2502</v>
      </c>
      <c r="AZ20" s="1">
        <v>80806</v>
      </c>
      <c r="BA20" s="1">
        <v>225874</v>
      </c>
      <c r="BB20" s="1">
        <v>4231469</v>
      </c>
      <c r="BC20" s="1">
        <v>1034853</v>
      </c>
      <c r="BD20" s="1">
        <v>2466764</v>
      </c>
      <c r="BE20" s="1">
        <v>109193</v>
      </c>
      <c r="BF20" s="1">
        <v>216261</v>
      </c>
      <c r="BG20" s="1">
        <v>404398</v>
      </c>
      <c r="BH20" s="1">
        <v>3647784</v>
      </c>
      <c r="BI20" s="1">
        <v>78965</v>
      </c>
      <c r="BJ20" s="1">
        <v>181642</v>
      </c>
      <c r="BK20" s="1">
        <v>1148855</v>
      </c>
      <c r="BL20" s="1">
        <v>775747</v>
      </c>
      <c r="BM20" s="1">
        <v>380570</v>
      </c>
      <c r="BN20" s="1">
        <v>703357</v>
      </c>
      <c r="BO20" s="1">
        <v>378648</v>
      </c>
      <c r="BP20" s="1">
        <v>4164029</v>
      </c>
      <c r="BQ20" s="1">
        <v>6353</v>
      </c>
      <c r="BR20" s="1">
        <v>2698834</v>
      </c>
      <c r="BS20" s="1">
        <v>69227</v>
      </c>
      <c r="BT20" s="1">
        <v>1389615</v>
      </c>
      <c r="BU20" s="1">
        <v>1494893</v>
      </c>
      <c r="BV20" s="1">
        <v>502358</v>
      </c>
      <c r="BW20" s="1">
        <v>486864</v>
      </c>
      <c r="BX20" s="1">
        <v>48253</v>
      </c>
      <c r="BY20" s="1">
        <v>91939</v>
      </c>
      <c r="BZ20" s="1">
        <v>771709</v>
      </c>
      <c r="CA20" s="1">
        <v>34011</v>
      </c>
      <c r="CB20" s="1">
        <v>61482</v>
      </c>
      <c r="CC20" s="2">
        <v>2.56</v>
      </c>
      <c r="CD20" s="1">
        <v>408992</v>
      </c>
      <c r="CE20" s="1">
        <v>796418</v>
      </c>
      <c r="CF20" s="1">
        <v>316578</v>
      </c>
      <c r="CG20" s="1">
        <v>285233</v>
      </c>
      <c r="CH20" s="1">
        <v>122733</v>
      </c>
      <c r="CI20" s="1">
        <v>43373</v>
      </c>
      <c r="CJ20" s="1">
        <v>23923</v>
      </c>
      <c r="CK20" s="2">
        <v>53.8</v>
      </c>
      <c r="CL20" s="1">
        <v>57033</v>
      </c>
      <c r="CM20" s="1">
        <v>233752</v>
      </c>
      <c r="CN20" s="1">
        <v>320367</v>
      </c>
      <c r="CO20" s="1">
        <v>395246</v>
      </c>
      <c r="CP20" s="1">
        <v>447327</v>
      </c>
      <c r="CQ20" s="1">
        <v>332255</v>
      </c>
      <c r="CR20" s="1">
        <v>156439</v>
      </c>
      <c r="CS20" s="1">
        <v>54831</v>
      </c>
      <c r="CT20" s="1">
        <v>52790</v>
      </c>
      <c r="CU20" s="1">
        <v>409801</v>
      </c>
      <c r="CV20" s="1">
        <v>1534660</v>
      </c>
      <c r="CW20" s="1">
        <v>38001</v>
      </c>
      <c r="CX20" s="1">
        <v>80939</v>
      </c>
      <c r="CY20" s="1">
        <v>92729</v>
      </c>
      <c r="CZ20" s="1">
        <v>50808</v>
      </c>
      <c r="DA20" s="1">
        <v>39962</v>
      </c>
      <c r="DB20" s="1">
        <v>51390</v>
      </c>
      <c r="DC20" s="1">
        <v>62246</v>
      </c>
      <c r="DD20" s="1">
        <v>59466</v>
      </c>
      <c r="DE20" s="1">
        <v>62943</v>
      </c>
      <c r="DF20" s="1">
        <v>67564</v>
      </c>
      <c r="DG20" s="1">
        <v>73475</v>
      </c>
      <c r="DH20" s="1">
        <v>72522</v>
      </c>
      <c r="DI20" s="1">
        <v>148446</v>
      </c>
      <c r="DJ20" s="1">
        <v>226011</v>
      </c>
      <c r="DK20" s="1">
        <v>352653</v>
      </c>
      <c r="DL20" s="1">
        <v>220486</v>
      </c>
      <c r="DM20" s="1">
        <v>187702</v>
      </c>
      <c r="DN20" s="1">
        <v>186580</v>
      </c>
      <c r="DO20" s="1">
        <v>134996</v>
      </c>
      <c r="DP20" s="1">
        <v>56211</v>
      </c>
      <c r="DQ20" s="1">
        <v>74236</v>
      </c>
      <c r="DR20" s="1">
        <v>89371</v>
      </c>
      <c r="DS20" s="1">
        <v>98739</v>
      </c>
      <c r="DT20" s="1">
        <v>88207</v>
      </c>
      <c r="DU20" s="1">
        <v>71369</v>
      </c>
      <c r="DV20" s="1">
        <v>54860</v>
      </c>
      <c r="DW20" s="2">
        <v>69671.44</v>
      </c>
      <c r="DX20" s="2">
        <v>33049.32</v>
      </c>
      <c r="DY20" s="2">
        <v>2297.84</v>
      </c>
      <c r="DZ20" s="2">
        <v>505.74</v>
      </c>
      <c r="EA20" s="2">
        <v>2448.79</v>
      </c>
      <c r="EB20" s="2">
        <v>2063.5</v>
      </c>
      <c r="EC20" s="2">
        <v>3988.95</v>
      </c>
      <c r="ED20" s="2">
        <v>10232.66</v>
      </c>
      <c r="EE20" s="2">
        <v>5942</v>
      </c>
      <c r="EF20" s="2">
        <v>2481.46</v>
      </c>
      <c r="EG20" s="2">
        <v>14518.41</v>
      </c>
      <c r="EH20" s="2">
        <v>2742.53</v>
      </c>
      <c r="EI20" s="2">
        <v>1321.51</v>
      </c>
      <c r="EJ20" s="2">
        <v>936.82</v>
      </c>
      <c r="EK20" s="2">
        <v>152.63</v>
      </c>
      <c r="EL20" s="2">
        <v>405.36</v>
      </c>
      <c r="EM20" s="2">
        <v>12829.07</v>
      </c>
      <c r="EN20" s="2">
        <v>5098.8100000000004</v>
      </c>
      <c r="EO20" s="2">
        <v>1705.36</v>
      </c>
      <c r="EP20" s="1">
        <v>46146</v>
      </c>
      <c r="EQ20" s="1">
        <v>6085</v>
      </c>
      <c r="ER20" s="1">
        <v>1079</v>
      </c>
      <c r="ES20" s="1">
        <v>10630</v>
      </c>
      <c r="ET20" s="1">
        <v>46498</v>
      </c>
      <c r="EU20" s="1">
        <v>84981</v>
      </c>
      <c r="EV20" s="1">
        <v>147588</v>
      </c>
      <c r="EW20" s="1">
        <v>9342</v>
      </c>
      <c r="EX20" s="1">
        <v>26731</v>
      </c>
      <c r="EY20" s="1">
        <v>4040</v>
      </c>
      <c r="EZ20" s="1">
        <v>381570</v>
      </c>
      <c r="FA20" s="1">
        <v>23926</v>
      </c>
      <c r="FB20" s="1">
        <v>250939</v>
      </c>
      <c r="FC20" s="1">
        <v>52421</v>
      </c>
      <c r="FD20" s="1">
        <v>29997</v>
      </c>
      <c r="FE20" s="1">
        <v>161196</v>
      </c>
      <c r="FF20" s="1">
        <v>4958</v>
      </c>
      <c r="FG20" s="1">
        <v>476568</v>
      </c>
      <c r="FH20" s="1">
        <v>89838</v>
      </c>
      <c r="FI20" s="1">
        <v>16641</v>
      </c>
      <c r="FJ20" s="1">
        <v>992</v>
      </c>
      <c r="FK20" s="1">
        <v>2877</v>
      </c>
      <c r="FL20" s="1">
        <v>9280</v>
      </c>
      <c r="FM20" s="1">
        <v>1445</v>
      </c>
      <c r="FN20" s="1">
        <v>104414</v>
      </c>
      <c r="FO20" s="1">
        <v>754913</v>
      </c>
      <c r="FP20" s="1">
        <v>49</v>
      </c>
      <c r="FQ20" s="1">
        <v>36</v>
      </c>
      <c r="FR20" s="1">
        <v>32</v>
      </c>
      <c r="FS20" s="1">
        <v>77</v>
      </c>
      <c r="FT20" s="1">
        <v>20</v>
      </c>
      <c r="FU20" s="1">
        <v>36</v>
      </c>
      <c r="FV20" s="1">
        <v>50</v>
      </c>
      <c r="FW20" s="1">
        <v>46</v>
      </c>
      <c r="FX20" s="1">
        <v>53</v>
      </c>
      <c r="FY20" s="1">
        <v>38</v>
      </c>
      <c r="FZ20" s="3">
        <v>-0.28499999999999998</v>
      </c>
      <c r="GA20" s="3">
        <v>0.871</v>
      </c>
      <c r="GB20" s="3">
        <v>0.08</v>
      </c>
      <c r="GC20" s="3">
        <v>-0.58099999999999996</v>
      </c>
      <c r="GD20" s="3">
        <v>0.79100000000000004</v>
      </c>
      <c r="GE20" s="3">
        <v>0.505</v>
      </c>
      <c r="GF20" s="3">
        <v>-0.27200000000000002</v>
      </c>
      <c r="GG20" s="3">
        <v>-0.192</v>
      </c>
      <c r="GH20" s="3">
        <v>6.3E-2</v>
      </c>
      <c r="GI20" s="3">
        <v>-0.14199999999999999</v>
      </c>
      <c r="GJ20" s="3">
        <v>-0.1</v>
      </c>
      <c r="GK20" s="3">
        <v>-0.20899999999999999</v>
      </c>
      <c r="GL20" s="3">
        <v>0.129</v>
      </c>
      <c r="GM20" s="3">
        <v>0.23400000000000001</v>
      </c>
      <c r="GN20" s="3">
        <v>0.41599999999999998</v>
      </c>
      <c r="GO20" s="3">
        <v>0.13600000000000001</v>
      </c>
      <c r="GP20" s="3">
        <v>4.1000000000000002E-2</v>
      </c>
      <c r="GQ20" s="3">
        <v>-8.7999999999999995E-2</v>
      </c>
      <c r="GR20" s="3">
        <v>-4.9000000000000002E-2</v>
      </c>
      <c r="GS20" s="3">
        <v>0.04</v>
      </c>
      <c r="GT20" s="3">
        <v>-5.1999999999999998E-2</v>
      </c>
      <c r="GU20" s="3">
        <v>-0.25600000000000001</v>
      </c>
      <c r="GV20" s="3">
        <v>-2.7E-2</v>
      </c>
      <c r="GW20" s="3">
        <v>3.4000000000000002E-2</v>
      </c>
      <c r="GX20" s="3">
        <v>-0.09</v>
      </c>
      <c r="GY20" s="3">
        <v>-4.4999999999999998E-2</v>
      </c>
      <c r="GZ20" s="4">
        <v>104</v>
      </c>
      <c r="HA20" s="4">
        <v>112</v>
      </c>
      <c r="HB20" s="4">
        <v>93</v>
      </c>
      <c r="HC20" s="4">
        <v>135</v>
      </c>
      <c r="HD20" s="4">
        <v>60</v>
      </c>
      <c r="HE20" s="4">
        <v>93</v>
      </c>
      <c r="HF20" s="1">
        <v>13040</v>
      </c>
      <c r="HG20" s="1">
        <v>10292</v>
      </c>
      <c r="HH20" s="1">
        <v>9420</v>
      </c>
      <c r="HI20" s="1">
        <v>8379</v>
      </c>
      <c r="HJ20" s="1">
        <v>7017</v>
      </c>
      <c r="HK20" s="1">
        <v>7696</v>
      </c>
      <c r="HL20" s="1">
        <v>4931</v>
      </c>
      <c r="HM20" s="1">
        <v>13542</v>
      </c>
      <c r="HN20" s="1">
        <v>17510</v>
      </c>
      <c r="HO20" s="1">
        <v>20338</v>
      </c>
      <c r="HP20" s="1">
        <v>26923</v>
      </c>
      <c r="HQ20" s="1">
        <v>35092</v>
      </c>
      <c r="HR20" s="1">
        <v>36346</v>
      </c>
      <c r="HS20" s="1">
        <v>110822</v>
      </c>
      <c r="HT20" s="1">
        <v>114042</v>
      </c>
      <c r="HU20" s="1">
        <v>163094</v>
      </c>
      <c r="HV20" s="1">
        <v>131712</v>
      </c>
      <c r="HW20" s="1">
        <v>267243</v>
      </c>
      <c r="HX20" s="1">
        <v>199983</v>
      </c>
      <c r="HY20" s="1">
        <v>196566</v>
      </c>
      <c r="HZ20" s="1">
        <v>79059</v>
      </c>
      <c r="IA20" s="1">
        <v>63118</v>
      </c>
      <c r="IB20" s="1">
        <v>16747</v>
      </c>
      <c r="IC20" s="1">
        <v>15314</v>
      </c>
      <c r="ID20" s="1">
        <v>210087</v>
      </c>
      <c r="IE20" s="1">
        <v>2003</v>
      </c>
      <c r="IF20" s="1">
        <v>2375</v>
      </c>
      <c r="IG20" s="1">
        <v>2929</v>
      </c>
      <c r="IH20" s="1">
        <v>4892</v>
      </c>
      <c r="II20" s="1">
        <v>4157</v>
      </c>
      <c r="IJ20" s="1">
        <v>7776</v>
      </c>
      <c r="IK20" s="1">
        <v>8808</v>
      </c>
      <c r="IL20" s="1">
        <v>13251</v>
      </c>
      <c r="IM20" s="1">
        <v>12884</v>
      </c>
      <c r="IN20" s="1">
        <v>18067</v>
      </c>
      <c r="IO20" s="1">
        <v>14735</v>
      </c>
      <c r="IP20" s="1">
        <v>18511</v>
      </c>
      <c r="IQ20" s="1">
        <v>16628</v>
      </c>
      <c r="IR20" s="1">
        <v>14586</v>
      </c>
      <c r="IS20" s="1">
        <v>13108</v>
      </c>
      <c r="IT20" s="1">
        <v>24608</v>
      </c>
      <c r="IU20" s="1">
        <v>16209</v>
      </c>
      <c r="IV20" s="1">
        <v>18575</v>
      </c>
      <c r="IW20">
        <v>5854</v>
      </c>
      <c r="IX20">
        <v>4356</v>
      </c>
      <c r="IY20">
        <v>1780</v>
      </c>
      <c r="IZ20">
        <v>30249</v>
      </c>
      <c r="JA20">
        <v>681</v>
      </c>
      <c r="JB20">
        <v>1280972</v>
      </c>
      <c r="JC20">
        <v>41974</v>
      </c>
      <c r="JD20">
        <v>6988</v>
      </c>
      <c r="JE20">
        <v>3125</v>
      </c>
      <c r="JF20">
        <v>2496</v>
      </c>
      <c r="JG20">
        <v>1963</v>
      </c>
      <c r="JH20">
        <v>934</v>
      </c>
      <c r="JI20">
        <v>1372</v>
      </c>
      <c r="JJ20">
        <v>52649</v>
      </c>
      <c r="JK20">
        <v>773</v>
      </c>
      <c r="JL20">
        <v>110999</v>
      </c>
      <c r="JM20">
        <v>12885</v>
      </c>
      <c r="JN20">
        <v>17642</v>
      </c>
      <c r="JO20">
        <v>15301</v>
      </c>
      <c r="JP20">
        <v>14500</v>
      </c>
      <c r="JQ20">
        <v>9138</v>
      </c>
      <c r="JR20">
        <v>7193</v>
      </c>
      <c r="JS20">
        <v>5708</v>
      </c>
      <c r="JT20">
        <v>16135</v>
      </c>
      <c r="JU20">
        <v>167</v>
      </c>
      <c r="JV20">
        <v>113899</v>
      </c>
      <c r="JW20">
        <v>162614</v>
      </c>
      <c r="JX20">
        <v>277816</v>
      </c>
      <c r="JY20">
        <v>220658</v>
      </c>
      <c r="JZ20">
        <v>254550</v>
      </c>
      <c r="KA20">
        <v>142216</v>
      </c>
      <c r="KB20">
        <v>136216</v>
      </c>
      <c r="KC20">
        <v>65930</v>
      </c>
      <c r="KD20">
        <v>229015</v>
      </c>
      <c r="KE20">
        <v>45267</v>
      </c>
      <c r="KF20">
        <v>5271</v>
      </c>
      <c r="KG20">
        <v>190711</v>
      </c>
      <c r="KH20">
        <v>302230</v>
      </c>
      <c r="KI20">
        <v>70216</v>
      </c>
      <c r="KJ20">
        <v>255890</v>
      </c>
      <c r="KK20">
        <v>92032</v>
      </c>
      <c r="KL20">
        <v>24383</v>
      </c>
      <c r="KM20">
        <v>37341</v>
      </c>
      <c r="KN20">
        <v>106322</v>
      </c>
      <c r="KO20">
        <v>33743</v>
      </c>
      <c r="KP20">
        <v>117791</v>
      </c>
      <c r="KQ20">
        <v>1519</v>
      </c>
      <c r="KR20">
        <v>77041</v>
      </c>
      <c r="KS20">
        <v>187591</v>
      </c>
      <c r="KT20">
        <v>290483</v>
      </c>
      <c r="KU20">
        <v>40533</v>
      </c>
      <c r="KV20">
        <v>110787</v>
      </c>
      <c r="KW20">
        <v>102481</v>
      </c>
      <c r="KX20">
        <v>96866</v>
      </c>
      <c r="KY20">
        <v>1448797</v>
      </c>
      <c r="KZ20">
        <v>107809</v>
      </c>
      <c r="LA20">
        <v>181263</v>
      </c>
      <c r="LB20">
        <v>160024</v>
      </c>
      <c r="LC20">
        <v>77615</v>
      </c>
      <c r="LD20">
        <v>50476</v>
      </c>
      <c r="LE20">
        <v>158647</v>
      </c>
      <c r="LF20">
        <v>3867</v>
      </c>
      <c r="LG20">
        <v>1483492</v>
      </c>
      <c r="LH20">
        <v>5204</v>
      </c>
      <c r="LI20">
        <v>45161</v>
      </c>
      <c r="LJ20">
        <v>3768</v>
      </c>
      <c r="LK20">
        <v>47542</v>
      </c>
      <c r="LL20">
        <v>1838</v>
      </c>
      <c r="LM20">
        <v>10976</v>
      </c>
      <c r="LN20">
        <v>497</v>
      </c>
      <c r="LO20">
        <v>4436</v>
      </c>
      <c r="LP20">
        <v>49929.382810000003</v>
      </c>
      <c r="LQ20">
        <v>88.183139999999995</v>
      </c>
    </row>
    <row r="21" spans="1:329" x14ac:dyDescent="0.25">
      <c r="A21" s="5" t="s">
        <v>343</v>
      </c>
      <c r="B21" s="5" t="s">
        <v>277</v>
      </c>
      <c r="C21" s="1">
        <v>2481299</v>
      </c>
      <c r="D21" s="1">
        <v>3413843</v>
      </c>
      <c r="E21" s="1">
        <v>4354835</v>
      </c>
      <c r="F21" s="1">
        <v>4861399</v>
      </c>
      <c r="G21" s="1">
        <v>5219696</v>
      </c>
      <c r="H21" s="1">
        <v>891709</v>
      </c>
      <c r="I21" s="1">
        <v>1270938</v>
      </c>
      <c r="J21" s="1">
        <v>1681351</v>
      </c>
      <c r="K21" s="1">
        <v>1941439</v>
      </c>
      <c r="L21" s="1">
        <v>2033597</v>
      </c>
      <c r="M21" s="1">
        <v>2076302</v>
      </c>
      <c r="N21" s="1">
        <v>1601970</v>
      </c>
      <c r="O21" s="1">
        <v>339469</v>
      </c>
      <c r="P21" s="1">
        <v>134863</v>
      </c>
      <c r="Q21" s="1">
        <v>190312</v>
      </c>
      <c r="R21" s="1">
        <v>72772</v>
      </c>
      <c r="S21" s="1">
        <v>296</v>
      </c>
      <c r="T21" s="1">
        <v>4178004</v>
      </c>
      <c r="U21" s="1">
        <v>645585</v>
      </c>
      <c r="V21" s="1">
        <v>37810</v>
      </c>
      <c r="W21" s="1">
        <v>2065</v>
      </c>
      <c r="X21" s="1">
        <v>587</v>
      </c>
      <c r="Y21" s="2">
        <v>44.33</v>
      </c>
      <c r="Z21" s="1">
        <v>242969</v>
      </c>
      <c r="AA21" s="1">
        <v>272776</v>
      </c>
      <c r="AB21" s="1">
        <v>304568</v>
      </c>
      <c r="AC21" s="1">
        <v>281331</v>
      </c>
      <c r="AD21" s="1">
        <v>221343</v>
      </c>
      <c r="AE21" s="1">
        <v>249481</v>
      </c>
      <c r="AF21" s="1">
        <v>262698</v>
      </c>
      <c r="AG21" s="1">
        <v>290247</v>
      </c>
      <c r="AH21" s="1">
        <v>284390</v>
      </c>
      <c r="AI21" s="1">
        <v>316129</v>
      </c>
      <c r="AJ21" s="1">
        <v>336003</v>
      </c>
      <c r="AK21" s="1">
        <v>387105</v>
      </c>
      <c r="AL21" s="1">
        <v>391984</v>
      </c>
      <c r="AM21" s="1">
        <v>353270</v>
      </c>
      <c r="AN21" s="1">
        <v>283718</v>
      </c>
      <c r="AO21" s="1">
        <v>184017</v>
      </c>
      <c r="AP21" s="1">
        <v>106144</v>
      </c>
      <c r="AQ21" s="1">
        <v>93223</v>
      </c>
      <c r="AR21" s="1">
        <v>2407522</v>
      </c>
      <c r="AS21" s="1">
        <v>2453876</v>
      </c>
      <c r="AT21" s="1">
        <v>3852413</v>
      </c>
      <c r="AU21" s="1">
        <v>230626</v>
      </c>
      <c r="AV21" s="1">
        <v>31259</v>
      </c>
      <c r="AW21" s="1">
        <v>140399</v>
      </c>
      <c r="AX21" s="1">
        <v>5923</v>
      </c>
      <c r="AY21" s="1">
        <v>3400</v>
      </c>
      <c r="AZ21" s="1">
        <v>108939</v>
      </c>
      <c r="BA21" s="1">
        <v>488749</v>
      </c>
      <c r="BB21" s="1">
        <v>4041082</v>
      </c>
      <c r="BC21" s="1">
        <v>923538</v>
      </c>
      <c r="BD21" s="1">
        <v>2334821</v>
      </c>
      <c r="BE21" s="1">
        <v>128696</v>
      </c>
      <c r="BF21" s="1">
        <v>228413</v>
      </c>
      <c r="BG21" s="1">
        <v>425614</v>
      </c>
      <c r="BH21" s="1">
        <v>3538410</v>
      </c>
      <c r="BI21" s="1">
        <v>77473</v>
      </c>
      <c r="BJ21" s="1">
        <v>161530</v>
      </c>
      <c r="BK21" s="1">
        <v>886861</v>
      </c>
      <c r="BL21" s="1">
        <v>835700</v>
      </c>
      <c r="BM21" s="1">
        <v>349046</v>
      </c>
      <c r="BN21" s="1">
        <v>761549</v>
      </c>
      <c r="BO21" s="1">
        <v>466251</v>
      </c>
      <c r="BP21" s="1">
        <v>3983421</v>
      </c>
      <c r="BQ21" s="1">
        <v>15809</v>
      </c>
      <c r="BR21" s="1">
        <v>2300760</v>
      </c>
      <c r="BS21" s="1">
        <v>67849</v>
      </c>
      <c r="BT21" s="1">
        <v>1599003</v>
      </c>
      <c r="BU21" s="1">
        <v>1418650</v>
      </c>
      <c r="BV21" s="1">
        <v>522789</v>
      </c>
      <c r="BW21" s="1">
        <v>418710</v>
      </c>
      <c r="BX21" s="1">
        <v>43379</v>
      </c>
      <c r="BY21" s="1">
        <v>93036</v>
      </c>
      <c r="BZ21" s="1">
        <v>771079</v>
      </c>
      <c r="CA21" s="1">
        <v>30476</v>
      </c>
      <c r="CB21" s="1">
        <v>61374</v>
      </c>
      <c r="CC21" s="2">
        <v>2.48</v>
      </c>
      <c r="CD21" s="1">
        <v>423564</v>
      </c>
      <c r="CE21" s="1">
        <v>822706</v>
      </c>
      <c r="CF21" s="1">
        <v>285225</v>
      </c>
      <c r="CG21" s="1">
        <v>240496</v>
      </c>
      <c r="CH21" s="1">
        <v>105457</v>
      </c>
      <c r="CI21" s="1">
        <v>39850</v>
      </c>
      <c r="CJ21" s="1">
        <v>24140</v>
      </c>
      <c r="CK21" s="2">
        <v>55.74</v>
      </c>
      <c r="CL21" s="1">
        <v>54928</v>
      </c>
      <c r="CM21" s="1">
        <v>216537</v>
      </c>
      <c r="CN21" s="1">
        <v>284553</v>
      </c>
      <c r="CO21" s="1">
        <v>340607</v>
      </c>
      <c r="CP21" s="1">
        <v>426474</v>
      </c>
      <c r="CQ21" s="1">
        <v>373609</v>
      </c>
      <c r="CR21" s="1">
        <v>184760</v>
      </c>
      <c r="CS21" s="1">
        <v>59972</v>
      </c>
      <c r="CT21" s="1">
        <v>49008</v>
      </c>
      <c r="CU21" s="1">
        <v>458378</v>
      </c>
      <c r="CV21" s="1">
        <v>1434054</v>
      </c>
      <c r="CW21" s="1">
        <v>39264</v>
      </c>
      <c r="CX21" s="1">
        <v>79201</v>
      </c>
      <c r="CY21" s="1">
        <v>91879</v>
      </c>
      <c r="CZ21" s="1">
        <v>60822</v>
      </c>
      <c r="DA21" s="1">
        <v>44369</v>
      </c>
      <c r="DB21" s="1">
        <v>51807</v>
      </c>
      <c r="DC21" s="1">
        <v>62823</v>
      </c>
      <c r="DD21" s="1">
        <v>60305</v>
      </c>
      <c r="DE21" s="1">
        <v>64558</v>
      </c>
      <c r="DF21" s="1">
        <v>67453</v>
      </c>
      <c r="DG21" s="1">
        <v>72979</v>
      </c>
      <c r="DH21" s="1">
        <v>72106</v>
      </c>
      <c r="DI21" s="1">
        <v>146348</v>
      </c>
      <c r="DJ21" s="1">
        <v>213878</v>
      </c>
      <c r="DK21" s="1">
        <v>316946</v>
      </c>
      <c r="DL21" s="1">
        <v>199332</v>
      </c>
      <c r="DM21" s="1">
        <v>171061</v>
      </c>
      <c r="DN21" s="1">
        <v>183161</v>
      </c>
      <c r="DO21" s="1">
        <v>153492</v>
      </c>
      <c r="DP21" s="1">
        <v>54015</v>
      </c>
      <c r="DQ21" s="1">
        <v>73840</v>
      </c>
      <c r="DR21" s="1">
        <v>90742</v>
      </c>
      <c r="DS21" s="1">
        <v>99870</v>
      </c>
      <c r="DT21" s="1">
        <v>89375</v>
      </c>
      <c r="DU21" s="1">
        <v>69351</v>
      </c>
      <c r="DV21" s="1">
        <v>52861</v>
      </c>
      <c r="DW21" s="2">
        <v>69683.86</v>
      </c>
      <c r="DX21" s="2">
        <v>32987.199999999997</v>
      </c>
      <c r="DY21" s="2">
        <v>2321.84</v>
      </c>
      <c r="DZ21" s="2">
        <v>507.27</v>
      </c>
      <c r="EA21" s="2">
        <v>2447.65</v>
      </c>
      <c r="EB21" s="2">
        <v>2087.9499999999998</v>
      </c>
      <c r="EC21" s="2">
        <v>3989.77</v>
      </c>
      <c r="ED21" s="2">
        <v>10211.49</v>
      </c>
      <c r="EE21" s="2">
        <v>5939.76</v>
      </c>
      <c r="EF21" s="2">
        <v>2481.2199999999998</v>
      </c>
      <c r="EG21" s="2">
        <v>14540.5</v>
      </c>
      <c r="EH21" s="2">
        <v>2752.87</v>
      </c>
      <c r="EI21" s="2">
        <v>1323.5</v>
      </c>
      <c r="EJ21" s="2">
        <v>936.6</v>
      </c>
      <c r="EK21" s="2">
        <v>153.55000000000001</v>
      </c>
      <c r="EL21" s="2">
        <v>403.17</v>
      </c>
      <c r="EM21" s="2">
        <v>12775.47</v>
      </c>
      <c r="EN21" s="2">
        <v>5083.59</v>
      </c>
      <c r="EO21" s="2">
        <v>1727.66</v>
      </c>
      <c r="EP21" s="1">
        <v>43581</v>
      </c>
      <c r="EQ21" s="1">
        <v>5644</v>
      </c>
      <c r="ER21" s="1">
        <v>709</v>
      </c>
      <c r="ES21" s="1">
        <v>11060</v>
      </c>
      <c r="ET21" s="1">
        <v>54653</v>
      </c>
      <c r="EU21" s="1">
        <v>90460</v>
      </c>
      <c r="EV21" s="1">
        <v>134635</v>
      </c>
      <c r="EW21" s="1">
        <v>7180</v>
      </c>
      <c r="EX21" s="1">
        <v>31277</v>
      </c>
      <c r="EY21" s="1">
        <v>5690</v>
      </c>
      <c r="EZ21" s="1">
        <v>384731</v>
      </c>
      <c r="FA21" s="1">
        <v>25719</v>
      </c>
      <c r="FB21" s="1">
        <v>293950</v>
      </c>
      <c r="FC21" s="1">
        <v>63914</v>
      </c>
      <c r="FD21" s="1">
        <v>38716</v>
      </c>
      <c r="FE21" s="1">
        <v>192398</v>
      </c>
      <c r="FF21" s="1">
        <v>6515</v>
      </c>
      <c r="FG21" s="1">
        <v>565460</v>
      </c>
      <c r="FH21" s="1">
        <v>106822</v>
      </c>
      <c r="FI21" s="1">
        <v>17447</v>
      </c>
      <c r="FJ21" s="1">
        <v>1199</v>
      </c>
      <c r="FK21" s="1">
        <v>2986</v>
      </c>
      <c r="FL21" s="1">
        <v>12524</v>
      </c>
      <c r="FM21" s="1">
        <v>1629</v>
      </c>
      <c r="FN21" s="1">
        <v>122573</v>
      </c>
      <c r="FO21" s="1">
        <v>833137</v>
      </c>
      <c r="FP21" s="1">
        <v>69</v>
      </c>
      <c r="FQ21" s="1">
        <v>50</v>
      </c>
      <c r="FR21" s="1">
        <v>48</v>
      </c>
      <c r="FS21" s="1">
        <v>88</v>
      </c>
      <c r="FT21" s="1">
        <v>26</v>
      </c>
      <c r="FU21" s="1">
        <v>55</v>
      </c>
      <c r="FV21" s="1">
        <v>72</v>
      </c>
      <c r="FW21" s="1">
        <v>71</v>
      </c>
      <c r="FX21" s="1">
        <v>75</v>
      </c>
      <c r="FY21" s="1">
        <v>54</v>
      </c>
      <c r="FZ21" s="3">
        <v>-2.5000000000000001E-2</v>
      </c>
      <c r="GA21" s="3">
        <v>0.54</v>
      </c>
      <c r="GB21" s="3">
        <v>0.42799999999999999</v>
      </c>
      <c r="GC21" s="3">
        <v>-0.253</v>
      </c>
      <c r="GD21" s="3">
        <v>0.72299999999999998</v>
      </c>
      <c r="GE21" s="3">
        <v>0.20100000000000001</v>
      </c>
      <c r="GF21" s="3">
        <v>-0.16200000000000001</v>
      </c>
      <c r="GG21" s="3">
        <v>0.32100000000000001</v>
      </c>
      <c r="GH21" s="3">
        <v>0.61499999999999999</v>
      </c>
      <c r="GI21" s="3">
        <v>2.4E-2</v>
      </c>
      <c r="GJ21" s="3">
        <v>0.35299999999999998</v>
      </c>
      <c r="GK21" s="3">
        <v>2.9000000000000001E-2</v>
      </c>
      <c r="GL21" s="3">
        <v>0.72099999999999997</v>
      </c>
      <c r="GM21" s="3">
        <v>0.50600000000000001</v>
      </c>
      <c r="GN21" s="3">
        <v>3.6999999999999998E-2</v>
      </c>
      <c r="GO21" s="3">
        <v>1.4999999999999999E-2</v>
      </c>
      <c r="GP21" s="3">
        <v>-0.19400000000000001</v>
      </c>
      <c r="GQ21" s="3">
        <v>8.5999999999999993E-2</v>
      </c>
      <c r="GR21" s="3">
        <v>-1.4E-2</v>
      </c>
      <c r="GS21" s="3">
        <v>-1.4E-2</v>
      </c>
      <c r="GT21" s="3">
        <v>1.7000000000000001E-2</v>
      </c>
      <c r="GU21" s="3">
        <v>-0.127</v>
      </c>
      <c r="GV21" s="3">
        <v>-0.13100000000000001</v>
      </c>
      <c r="GW21" s="3">
        <v>0.248</v>
      </c>
      <c r="GX21" s="3">
        <v>-0.129</v>
      </c>
      <c r="GY21" s="3">
        <v>-5.0999999999999997E-2</v>
      </c>
      <c r="GZ21" s="4">
        <v>101</v>
      </c>
      <c r="HA21" s="4">
        <v>108</v>
      </c>
      <c r="HB21" s="4">
        <v>96</v>
      </c>
      <c r="HC21" s="4">
        <v>111</v>
      </c>
      <c r="HD21" s="4">
        <v>66</v>
      </c>
      <c r="HE21" s="4">
        <v>113</v>
      </c>
      <c r="HF21" s="1">
        <v>12653</v>
      </c>
      <c r="HG21" s="1">
        <v>8732</v>
      </c>
      <c r="HH21" s="1">
        <v>8493</v>
      </c>
      <c r="HI21" s="1">
        <v>8181</v>
      </c>
      <c r="HJ21" s="1">
        <v>6508</v>
      </c>
      <c r="HK21" s="1">
        <v>6989</v>
      </c>
      <c r="HL21" s="1">
        <v>4372</v>
      </c>
      <c r="HM21" s="1">
        <v>10360</v>
      </c>
      <c r="HN21" s="1">
        <v>14105</v>
      </c>
      <c r="HO21" s="1">
        <v>14861</v>
      </c>
      <c r="HP21" s="1">
        <v>18972</v>
      </c>
      <c r="HQ21" s="1">
        <v>24156</v>
      </c>
      <c r="HR21" s="1">
        <v>23291</v>
      </c>
      <c r="HS21" s="1">
        <v>71222</v>
      </c>
      <c r="HT21" s="1">
        <v>73522</v>
      </c>
      <c r="HU21" s="1">
        <v>109558</v>
      </c>
      <c r="HV21" s="1">
        <v>91867</v>
      </c>
      <c r="HW21" s="1">
        <v>206775</v>
      </c>
      <c r="HX21" s="1">
        <v>176543</v>
      </c>
      <c r="HY21" s="1">
        <v>232354</v>
      </c>
      <c r="HZ21" s="1">
        <v>115272</v>
      </c>
      <c r="IA21" s="1">
        <v>99488</v>
      </c>
      <c r="IB21" s="1">
        <v>28999</v>
      </c>
      <c r="IC21" s="1">
        <v>22815</v>
      </c>
      <c r="ID21" s="1">
        <v>245266</v>
      </c>
      <c r="IE21" s="1">
        <v>1525</v>
      </c>
      <c r="IF21" s="1">
        <v>1851</v>
      </c>
      <c r="IG21" s="1">
        <v>2037</v>
      </c>
      <c r="IH21" s="1">
        <v>2806</v>
      </c>
      <c r="II21" s="1">
        <v>2719</v>
      </c>
      <c r="IJ21" s="1">
        <v>5122</v>
      </c>
      <c r="IK21" s="1">
        <v>5368</v>
      </c>
      <c r="IL21" s="1">
        <v>9023</v>
      </c>
      <c r="IM21" s="1">
        <v>7627</v>
      </c>
      <c r="IN21" s="1">
        <v>14528</v>
      </c>
      <c r="IO21" s="1">
        <v>12475</v>
      </c>
      <c r="IP21" s="1">
        <v>14880</v>
      </c>
      <c r="IQ21" s="1">
        <v>14256</v>
      </c>
      <c r="IR21" s="1">
        <v>15187</v>
      </c>
      <c r="IS21" s="1">
        <v>15250</v>
      </c>
      <c r="IT21" s="1">
        <v>30672</v>
      </c>
      <c r="IU21" s="1">
        <v>23145</v>
      </c>
      <c r="IV21" s="1">
        <v>44318</v>
      </c>
      <c r="IW21">
        <v>22853</v>
      </c>
      <c r="IX21">
        <v>17291</v>
      </c>
      <c r="IY21">
        <v>6657</v>
      </c>
      <c r="IZ21">
        <v>30262</v>
      </c>
      <c r="JA21">
        <v>838</v>
      </c>
      <c r="JB21">
        <v>1404164</v>
      </c>
      <c r="JC21">
        <v>47307</v>
      </c>
      <c r="JD21">
        <v>3754</v>
      </c>
      <c r="JE21">
        <v>5194</v>
      </c>
      <c r="JF21">
        <v>4481</v>
      </c>
      <c r="JG21">
        <v>3162</v>
      </c>
      <c r="JH21">
        <v>1790</v>
      </c>
      <c r="JI21">
        <v>2169</v>
      </c>
      <c r="JJ21">
        <v>104011</v>
      </c>
      <c r="JK21">
        <v>2039</v>
      </c>
      <c r="JL21">
        <v>168268</v>
      </c>
      <c r="JM21">
        <v>19541</v>
      </c>
      <c r="JN21">
        <v>15742</v>
      </c>
      <c r="JO21">
        <v>21131</v>
      </c>
      <c r="JP21">
        <v>21639</v>
      </c>
      <c r="JQ21">
        <v>17939</v>
      </c>
      <c r="JR21">
        <v>12286</v>
      </c>
      <c r="JS21">
        <v>13655</v>
      </c>
      <c r="JT21">
        <v>31436</v>
      </c>
      <c r="JU21">
        <v>647</v>
      </c>
      <c r="JV21">
        <v>231174</v>
      </c>
      <c r="JW21">
        <v>284417</v>
      </c>
      <c r="JX21">
        <v>452567</v>
      </c>
      <c r="JY21">
        <v>329560</v>
      </c>
      <c r="JZ21">
        <v>269765</v>
      </c>
      <c r="KA21">
        <v>114051</v>
      </c>
      <c r="KB21">
        <v>87545</v>
      </c>
      <c r="KC21">
        <v>43714</v>
      </c>
      <c r="KD21">
        <v>87562</v>
      </c>
      <c r="KE21">
        <v>34814</v>
      </c>
      <c r="KF21">
        <v>11153</v>
      </c>
      <c r="KG21">
        <v>169828</v>
      </c>
      <c r="KH21">
        <v>187689</v>
      </c>
      <c r="KI21">
        <v>62869</v>
      </c>
      <c r="KJ21">
        <v>260939</v>
      </c>
      <c r="KK21">
        <v>84477</v>
      </c>
      <c r="KL21">
        <v>26749</v>
      </c>
      <c r="KM21">
        <v>40167</v>
      </c>
      <c r="KN21">
        <v>93685</v>
      </c>
      <c r="KO21">
        <v>53312</v>
      </c>
      <c r="KP21">
        <v>149720</v>
      </c>
      <c r="KQ21">
        <v>1060</v>
      </c>
      <c r="KR21">
        <v>81961</v>
      </c>
      <c r="KS21">
        <v>223195</v>
      </c>
      <c r="KT21">
        <v>292064</v>
      </c>
      <c r="KU21">
        <v>56489</v>
      </c>
      <c r="KV21">
        <v>124901</v>
      </c>
      <c r="KW21">
        <v>111131</v>
      </c>
      <c r="KX21">
        <v>166143</v>
      </c>
      <c r="KY21">
        <v>1327067</v>
      </c>
      <c r="KZ21">
        <v>136677</v>
      </c>
      <c r="LA21">
        <v>165090</v>
      </c>
      <c r="LB21">
        <v>210865</v>
      </c>
      <c r="LC21">
        <v>131693</v>
      </c>
      <c r="LD21">
        <v>87746</v>
      </c>
      <c r="LE21">
        <v>169531</v>
      </c>
      <c r="LF21">
        <v>3677</v>
      </c>
      <c r="LG21">
        <v>1672863</v>
      </c>
      <c r="LH21">
        <v>15268</v>
      </c>
      <c r="LI21">
        <v>102965</v>
      </c>
      <c r="LJ21">
        <v>5354</v>
      </c>
      <c r="LK21">
        <v>60191</v>
      </c>
      <c r="LL21">
        <v>5811</v>
      </c>
      <c r="LM21">
        <v>28914</v>
      </c>
      <c r="LN21">
        <v>683</v>
      </c>
      <c r="LO21">
        <v>8306</v>
      </c>
      <c r="LP21">
        <v>65090.289060000003</v>
      </c>
      <c r="LQ21">
        <v>79.535229999999999</v>
      </c>
    </row>
    <row r="22" spans="1:329" x14ac:dyDescent="0.25">
      <c r="A22" s="5" t="s">
        <v>344</v>
      </c>
      <c r="B22" s="5" t="s">
        <v>278</v>
      </c>
      <c r="C22" s="1">
        <v>1374416</v>
      </c>
      <c r="D22" s="1">
        <v>1870506</v>
      </c>
      <c r="E22" s="1">
        <v>5332655</v>
      </c>
      <c r="F22" s="1">
        <v>7606019</v>
      </c>
      <c r="G22" s="1">
        <v>8219772</v>
      </c>
      <c r="H22" s="1">
        <v>452036</v>
      </c>
      <c r="I22" s="1">
        <v>632500</v>
      </c>
      <c r="J22" s="1">
        <v>1801123</v>
      </c>
      <c r="K22" s="1">
        <v>2649035</v>
      </c>
      <c r="L22" s="1">
        <v>2820942</v>
      </c>
      <c r="M22" s="1">
        <v>2747428</v>
      </c>
      <c r="N22" s="1">
        <v>2057102</v>
      </c>
      <c r="O22" s="1">
        <v>591932</v>
      </c>
      <c r="P22" s="1">
        <v>98394</v>
      </c>
      <c r="Q22" s="1">
        <v>195772</v>
      </c>
      <c r="R22" s="1">
        <v>34511</v>
      </c>
      <c r="S22" s="1">
        <v>216</v>
      </c>
      <c r="T22" s="1">
        <v>6697019</v>
      </c>
      <c r="U22" s="1">
        <v>851462</v>
      </c>
      <c r="V22" s="1">
        <v>57538</v>
      </c>
      <c r="W22" s="1">
        <v>2203</v>
      </c>
      <c r="X22" s="1">
        <v>2824</v>
      </c>
      <c r="Y22" s="2">
        <v>34</v>
      </c>
      <c r="Z22" s="1">
        <v>568046</v>
      </c>
      <c r="AA22" s="1">
        <v>571773</v>
      </c>
      <c r="AB22" s="1">
        <v>565638</v>
      </c>
      <c r="AC22" s="1">
        <v>478226</v>
      </c>
      <c r="AD22" s="1">
        <v>420043</v>
      </c>
      <c r="AE22" s="1">
        <v>570162</v>
      </c>
      <c r="AF22" s="1">
        <v>629384</v>
      </c>
      <c r="AG22" s="1">
        <v>622577</v>
      </c>
      <c r="AH22" s="1">
        <v>527438</v>
      </c>
      <c r="AI22" s="1">
        <v>482364</v>
      </c>
      <c r="AJ22" s="1">
        <v>431491</v>
      </c>
      <c r="AK22" s="1">
        <v>432046</v>
      </c>
      <c r="AL22" s="1">
        <v>396981</v>
      </c>
      <c r="AM22" s="1">
        <v>330714</v>
      </c>
      <c r="AN22" s="1">
        <v>250321</v>
      </c>
      <c r="AO22" s="1">
        <v>155981</v>
      </c>
      <c r="AP22" s="1">
        <v>90593</v>
      </c>
      <c r="AQ22" s="1">
        <v>82238</v>
      </c>
      <c r="AR22" s="1">
        <v>3753942</v>
      </c>
      <c r="AS22" s="1">
        <v>3852077</v>
      </c>
      <c r="AT22" s="1">
        <v>4278791</v>
      </c>
      <c r="AU22" s="1">
        <v>782998</v>
      </c>
      <c r="AV22" s="1">
        <v>31728</v>
      </c>
      <c r="AW22" s="1">
        <v>594603</v>
      </c>
      <c r="AX22" s="1">
        <v>15140</v>
      </c>
      <c r="AY22" s="1">
        <v>18110</v>
      </c>
      <c r="AZ22" s="1">
        <v>200092</v>
      </c>
      <c r="BA22" s="1">
        <v>1684687</v>
      </c>
      <c r="BB22" s="1">
        <v>5900560</v>
      </c>
      <c r="BC22" s="1">
        <v>1639117</v>
      </c>
      <c r="BD22" s="1">
        <v>3240516</v>
      </c>
      <c r="BE22" s="1">
        <v>243740</v>
      </c>
      <c r="BF22" s="1">
        <v>220403</v>
      </c>
      <c r="BG22" s="1">
        <v>556784</v>
      </c>
      <c r="BH22" s="1">
        <v>5002291</v>
      </c>
      <c r="BI22" s="1">
        <v>153791</v>
      </c>
      <c r="BJ22" s="1">
        <v>215356</v>
      </c>
      <c r="BK22" s="1">
        <v>1032193</v>
      </c>
      <c r="BL22" s="1">
        <v>1122861</v>
      </c>
      <c r="BM22" s="1">
        <v>485506</v>
      </c>
      <c r="BN22" s="1">
        <v>1281629</v>
      </c>
      <c r="BO22" s="1">
        <v>710955</v>
      </c>
      <c r="BP22" s="1">
        <v>5798178</v>
      </c>
      <c r="BQ22" s="1">
        <v>49690</v>
      </c>
      <c r="BR22" s="1">
        <v>3804227</v>
      </c>
      <c r="BS22" s="1">
        <v>108883</v>
      </c>
      <c r="BT22" s="1">
        <v>1835378</v>
      </c>
      <c r="BU22" s="1">
        <v>1995302</v>
      </c>
      <c r="BV22" s="1">
        <v>653733</v>
      </c>
      <c r="BW22" s="1">
        <v>802345</v>
      </c>
      <c r="BX22" s="1">
        <v>75105</v>
      </c>
      <c r="BY22" s="1">
        <v>191984</v>
      </c>
      <c r="BZ22" s="1">
        <v>790992</v>
      </c>
      <c r="CA22" s="1">
        <v>43894</v>
      </c>
      <c r="CB22" s="1">
        <v>90020</v>
      </c>
      <c r="CC22" s="2">
        <v>2.85</v>
      </c>
      <c r="CD22" s="1">
        <v>503237</v>
      </c>
      <c r="CE22" s="1">
        <v>846345</v>
      </c>
      <c r="CF22" s="1">
        <v>465051</v>
      </c>
      <c r="CG22" s="1">
        <v>459668</v>
      </c>
      <c r="CH22" s="1">
        <v>226067</v>
      </c>
      <c r="CI22" s="1">
        <v>90793</v>
      </c>
      <c r="CJ22" s="1">
        <v>57874</v>
      </c>
      <c r="CK22" s="2">
        <v>47.3</v>
      </c>
      <c r="CL22" s="1">
        <v>98872</v>
      </c>
      <c r="CM22" s="1">
        <v>500743</v>
      </c>
      <c r="CN22" s="1">
        <v>565772</v>
      </c>
      <c r="CO22" s="1">
        <v>482931</v>
      </c>
      <c r="CP22" s="1">
        <v>457199</v>
      </c>
      <c r="CQ22" s="1">
        <v>338478</v>
      </c>
      <c r="CR22" s="1">
        <v>153952</v>
      </c>
      <c r="CS22" s="1">
        <v>51089</v>
      </c>
      <c r="CT22" s="1">
        <v>60038</v>
      </c>
      <c r="CU22" s="1">
        <v>674544</v>
      </c>
      <c r="CV22" s="1">
        <v>1914453</v>
      </c>
      <c r="CW22" s="1">
        <v>35406</v>
      </c>
      <c r="CX22" s="1">
        <v>87632</v>
      </c>
      <c r="CY22" s="1">
        <v>98250</v>
      </c>
      <c r="CZ22" s="1">
        <v>78929</v>
      </c>
      <c r="DA22" s="1">
        <v>46843</v>
      </c>
      <c r="DB22" s="1">
        <v>53249</v>
      </c>
      <c r="DC22" s="1">
        <v>63503</v>
      </c>
      <c r="DD22" s="1">
        <v>63717</v>
      </c>
      <c r="DE22" s="1">
        <v>70219</v>
      </c>
      <c r="DF22" s="1">
        <v>78377</v>
      </c>
      <c r="DG22" s="1">
        <v>88066</v>
      </c>
      <c r="DH22" s="1">
        <v>88909</v>
      </c>
      <c r="DI22" s="1">
        <v>186569</v>
      </c>
      <c r="DJ22" s="1">
        <v>282615</v>
      </c>
      <c r="DK22" s="1">
        <v>442330</v>
      </c>
      <c r="DL22" s="1">
        <v>302312</v>
      </c>
      <c r="DM22" s="1">
        <v>266980</v>
      </c>
      <c r="DN22" s="1">
        <v>292777</v>
      </c>
      <c r="DO22" s="1">
        <v>243639</v>
      </c>
      <c r="DP22" s="1">
        <v>57723</v>
      </c>
      <c r="DQ22" s="1">
        <v>80140</v>
      </c>
      <c r="DR22" s="1">
        <v>97881</v>
      </c>
      <c r="DS22" s="1">
        <v>108341</v>
      </c>
      <c r="DT22" s="1">
        <v>95017</v>
      </c>
      <c r="DU22" s="1">
        <v>75547</v>
      </c>
      <c r="DV22" s="1">
        <v>59169</v>
      </c>
      <c r="DW22" s="2">
        <v>71083.070000000007</v>
      </c>
      <c r="DX22" s="2">
        <v>33658.089999999997</v>
      </c>
      <c r="DY22" s="2">
        <v>2353.75</v>
      </c>
      <c r="DZ22" s="2">
        <v>518.98</v>
      </c>
      <c r="EA22" s="2">
        <v>2539.58</v>
      </c>
      <c r="EB22" s="2">
        <v>2218.0500000000002</v>
      </c>
      <c r="EC22" s="2">
        <v>4090.58</v>
      </c>
      <c r="ED22" s="2">
        <v>10432.09</v>
      </c>
      <c r="EE22" s="2">
        <v>5913.77</v>
      </c>
      <c r="EF22" s="2">
        <v>2538.6</v>
      </c>
      <c r="EG22" s="2">
        <v>14875.08</v>
      </c>
      <c r="EH22" s="2">
        <v>2807.57</v>
      </c>
      <c r="EI22" s="2">
        <v>1345.11</v>
      </c>
      <c r="EJ22" s="2">
        <v>955.37</v>
      </c>
      <c r="EK22" s="2">
        <v>154.35</v>
      </c>
      <c r="EL22" s="2">
        <v>398.6</v>
      </c>
      <c r="EM22" s="2">
        <v>13061.75</v>
      </c>
      <c r="EN22" s="2">
        <v>5111.1499999999996</v>
      </c>
      <c r="EO22" s="2">
        <v>1768.69</v>
      </c>
      <c r="EP22" s="1">
        <v>46969</v>
      </c>
      <c r="EQ22" s="1">
        <v>5778</v>
      </c>
      <c r="ER22" s="1">
        <v>749</v>
      </c>
      <c r="ES22" s="1">
        <v>11794</v>
      </c>
      <c r="ET22" s="1">
        <v>60672</v>
      </c>
      <c r="EU22" s="1">
        <v>103883</v>
      </c>
      <c r="EV22" s="1">
        <v>147851</v>
      </c>
      <c r="EW22" s="1">
        <v>8083</v>
      </c>
      <c r="EX22" s="1">
        <v>33708</v>
      </c>
      <c r="EY22" s="1">
        <v>5981</v>
      </c>
      <c r="EZ22" s="1">
        <v>425134</v>
      </c>
      <c r="FA22" s="1">
        <v>27386</v>
      </c>
      <c r="FB22" s="1">
        <v>314218</v>
      </c>
      <c r="FC22" s="1">
        <v>67640</v>
      </c>
      <c r="FD22" s="1">
        <v>42509</v>
      </c>
      <c r="FE22" s="1">
        <v>214155</v>
      </c>
      <c r="FF22" s="1">
        <v>7224</v>
      </c>
      <c r="FG22" s="1">
        <v>602996</v>
      </c>
      <c r="FH22" s="1">
        <v>116230</v>
      </c>
      <c r="FI22" s="1">
        <v>18386</v>
      </c>
      <c r="FJ22" s="1">
        <v>1452</v>
      </c>
      <c r="FK22" s="1">
        <v>3061</v>
      </c>
      <c r="FL22" s="1">
        <v>12937</v>
      </c>
      <c r="FM22" s="1">
        <v>1807</v>
      </c>
      <c r="FN22" s="1">
        <v>126810</v>
      </c>
      <c r="FO22" s="1">
        <v>906884</v>
      </c>
      <c r="FP22" s="1">
        <v>96</v>
      </c>
      <c r="FQ22" s="1">
        <v>77</v>
      </c>
      <c r="FR22" s="1">
        <v>86</v>
      </c>
      <c r="FS22" s="1">
        <v>62</v>
      </c>
      <c r="FT22" s="1">
        <v>95</v>
      </c>
      <c r="FU22" s="1">
        <v>72</v>
      </c>
      <c r="FV22" s="1">
        <v>99</v>
      </c>
      <c r="FW22" s="1">
        <v>84</v>
      </c>
      <c r="FX22" s="1">
        <v>101</v>
      </c>
      <c r="FY22" s="1">
        <v>119</v>
      </c>
      <c r="FZ22" s="3">
        <v>0.35099999999999998</v>
      </c>
      <c r="GA22" s="3">
        <v>0.69499999999999995</v>
      </c>
      <c r="GB22" s="3">
        <v>-0.65</v>
      </c>
      <c r="GC22" s="3">
        <v>0.26100000000000001</v>
      </c>
      <c r="GD22" s="3">
        <v>0.71899999999999997</v>
      </c>
      <c r="GE22" s="3">
        <v>-0.214</v>
      </c>
      <c r="GF22" s="3">
        <v>0.42199999999999999</v>
      </c>
      <c r="GG22" s="3">
        <v>0.32300000000000001</v>
      </c>
      <c r="GH22" s="3">
        <v>-0.53500000000000003</v>
      </c>
      <c r="GI22" s="3">
        <v>-0.129</v>
      </c>
      <c r="GJ22" s="3">
        <v>-0.55900000000000005</v>
      </c>
      <c r="GK22" s="3">
        <v>4.2000000000000003E-2</v>
      </c>
      <c r="GL22" s="3">
        <v>3.2549999999999999</v>
      </c>
      <c r="GM22" s="3">
        <v>8.9999999999999993E-3</v>
      </c>
      <c r="GN22" s="3">
        <v>-0.19500000000000001</v>
      </c>
      <c r="GO22" s="3">
        <v>2E-3</v>
      </c>
      <c r="GP22" s="3">
        <v>-8.4000000000000005E-2</v>
      </c>
      <c r="GQ22" s="3">
        <v>0.191</v>
      </c>
      <c r="GR22" s="3">
        <v>-0.16600000000000001</v>
      </c>
      <c r="GS22" s="3">
        <v>0.54300000000000004</v>
      </c>
      <c r="GT22" s="3">
        <v>0.19500000000000001</v>
      </c>
      <c r="GU22" s="3">
        <v>-0.154</v>
      </c>
      <c r="GV22" s="3">
        <v>-0.45200000000000001</v>
      </c>
      <c r="GW22" s="3">
        <v>-0.128</v>
      </c>
      <c r="GX22" s="3">
        <v>-1.4E-2</v>
      </c>
      <c r="GY22" s="3">
        <v>1.7999999999999999E-2</v>
      </c>
      <c r="GZ22" s="4">
        <v>109</v>
      </c>
      <c r="HA22" s="4">
        <v>120</v>
      </c>
      <c r="HB22" s="4">
        <v>106</v>
      </c>
      <c r="HC22" s="4">
        <v>103</v>
      </c>
      <c r="HD22" s="4">
        <v>86</v>
      </c>
      <c r="HE22" s="4">
        <v>107</v>
      </c>
      <c r="HF22" s="1">
        <v>10391</v>
      </c>
      <c r="HG22" s="1">
        <v>7716</v>
      </c>
      <c r="HH22" s="1">
        <v>7437</v>
      </c>
      <c r="HI22" s="1">
        <v>6311</v>
      </c>
      <c r="HJ22" s="1">
        <v>5403</v>
      </c>
      <c r="HK22" s="1">
        <v>6503</v>
      </c>
      <c r="HL22" s="1">
        <v>4312</v>
      </c>
      <c r="HM22" s="1">
        <v>10344</v>
      </c>
      <c r="HN22" s="1">
        <v>12850</v>
      </c>
      <c r="HO22" s="1">
        <v>14636</v>
      </c>
      <c r="HP22" s="1">
        <v>18598</v>
      </c>
      <c r="HQ22" s="1">
        <v>25389</v>
      </c>
      <c r="HR22" s="1">
        <v>26194</v>
      </c>
      <c r="HS22" s="1">
        <v>89885</v>
      </c>
      <c r="HT22" s="1">
        <v>107462</v>
      </c>
      <c r="HU22" s="1">
        <v>148408</v>
      </c>
      <c r="HV22" s="1">
        <v>112860</v>
      </c>
      <c r="HW22" s="1">
        <v>207148</v>
      </c>
      <c r="HX22" s="1">
        <v>158128</v>
      </c>
      <c r="HY22" s="1">
        <v>183806</v>
      </c>
      <c r="HZ22" s="1">
        <v>87784</v>
      </c>
      <c r="IA22" s="1">
        <v>81376</v>
      </c>
      <c r="IB22" s="1">
        <v>23312</v>
      </c>
      <c r="IC22" s="1">
        <v>19658</v>
      </c>
      <c r="ID22" s="1">
        <v>217681</v>
      </c>
      <c r="IE22" s="1">
        <v>2162</v>
      </c>
      <c r="IF22" s="1">
        <v>2262</v>
      </c>
      <c r="IG22" s="1">
        <v>2534</v>
      </c>
      <c r="IH22" s="1">
        <v>2930</v>
      </c>
      <c r="II22" s="1">
        <v>2979</v>
      </c>
      <c r="IJ22" s="1">
        <v>3931</v>
      </c>
      <c r="IK22" s="1">
        <v>4729</v>
      </c>
      <c r="IL22" s="1">
        <v>7237</v>
      </c>
      <c r="IM22" s="1">
        <v>7176</v>
      </c>
      <c r="IN22" s="1">
        <v>12465</v>
      </c>
      <c r="IO22" s="1">
        <v>11050</v>
      </c>
      <c r="IP22" s="1">
        <v>15770</v>
      </c>
      <c r="IQ22" s="1">
        <v>16558</v>
      </c>
      <c r="IR22" s="1">
        <v>17891</v>
      </c>
      <c r="IS22" s="1">
        <v>17644</v>
      </c>
      <c r="IT22" s="1">
        <v>39802</v>
      </c>
      <c r="IU22" s="1">
        <v>37204</v>
      </c>
      <c r="IV22" s="1">
        <v>88751</v>
      </c>
      <c r="IW22">
        <v>50265</v>
      </c>
      <c r="IX22">
        <v>44252</v>
      </c>
      <c r="IY22">
        <v>18604</v>
      </c>
      <c r="IZ22">
        <v>19719</v>
      </c>
      <c r="JA22">
        <v>995</v>
      </c>
      <c r="JB22">
        <v>1215433</v>
      </c>
      <c r="JC22">
        <v>82098</v>
      </c>
      <c r="JD22">
        <v>2495</v>
      </c>
      <c r="JE22">
        <v>6893</v>
      </c>
      <c r="JF22">
        <v>8137</v>
      </c>
      <c r="JG22">
        <v>5377</v>
      </c>
      <c r="JH22">
        <v>3116</v>
      </c>
      <c r="JI22">
        <v>2977</v>
      </c>
      <c r="JJ22">
        <v>52041</v>
      </c>
      <c r="JK22">
        <v>1247</v>
      </c>
      <c r="JL22">
        <v>195843</v>
      </c>
      <c r="JM22">
        <v>38413</v>
      </c>
      <c r="JN22">
        <v>12583</v>
      </c>
      <c r="JO22">
        <v>21117</v>
      </c>
      <c r="JP22">
        <v>32204</v>
      </c>
      <c r="JQ22">
        <v>44142</v>
      </c>
      <c r="JR22">
        <v>33189</v>
      </c>
      <c r="JS22">
        <v>31332</v>
      </c>
      <c r="JT22">
        <v>18193</v>
      </c>
      <c r="JU22">
        <v>519</v>
      </c>
      <c r="JV22">
        <v>971217</v>
      </c>
      <c r="JW22">
        <v>306892</v>
      </c>
      <c r="JX22">
        <v>166679</v>
      </c>
      <c r="JY22">
        <v>114623</v>
      </c>
      <c r="JZ22">
        <v>98473</v>
      </c>
      <c r="KA22">
        <v>54491</v>
      </c>
      <c r="KB22">
        <v>43696</v>
      </c>
      <c r="KC22">
        <v>20197</v>
      </c>
      <c r="KD22">
        <v>31081</v>
      </c>
      <c r="KE22">
        <v>19097</v>
      </c>
      <c r="KF22">
        <v>14661</v>
      </c>
      <c r="KG22">
        <v>138009</v>
      </c>
      <c r="KH22">
        <v>200359</v>
      </c>
      <c r="KI22">
        <v>72730</v>
      </c>
      <c r="KJ22">
        <v>287064</v>
      </c>
      <c r="KK22">
        <v>102547</v>
      </c>
      <c r="KL22">
        <v>23604</v>
      </c>
      <c r="KM22">
        <v>55957</v>
      </c>
      <c r="KN22">
        <v>148814</v>
      </c>
      <c r="KO22">
        <v>54590</v>
      </c>
      <c r="KP22">
        <v>180799</v>
      </c>
      <c r="KQ22">
        <v>1982</v>
      </c>
      <c r="KR22">
        <v>100090</v>
      </c>
      <c r="KS22">
        <v>218409</v>
      </c>
      <c r="KT22">
        <v>323267</v>
      </c>
      <c r="KU22">
        <v>58971</v>
      </c>
      <c r="KV22">
        <v>154521</v>
      </c>
      <c r="KW22">
        <v>109642</v>
      </c>
      <c r="KX22">
        <v>159476</v>
      </c>
      <c r="KY22">
        <v>1647981</v>
      </c>
      <c r="KZ22">
        <v>94553</v>
      </c>
      <c r="LA22">
        <v>157027</v>
      </c>
      <c r="LB22">
        <v>196067</v>
      </c>
      <c r="LC22">
        <v>105354</v>
      </c>
      <c r="LD22">
        <v>93988</v>
      </c>
      <c r="LE22">
        <v>127032</v>
      </c>
      <c r="LF22">
        <v>2587</v>
      </c>
      <c r="LG22">
        <v>1352954</v>
      </c>
      <c r="LH22">
        <v>34853</v>
      </c>
      <c r="LI22">
        <v>224147</v>
      </c>
      <c r="LJ22">
        <v>7517</v>
      </c>
      <c r="LK22">
        <v>70706</v>
      </c>
      <c r="LL22">
        <v>19018</v>
      </c>
      <c r="LM22">
        <v>80512</v>
      </c>
      <c r="LN22">
        <v>1861</v>
      </c>
      <c r="LO22">
        <v>15781</v>
      </c>
      <c r="LP22">
        <v>11054.65625</v>
      </c>
      <c r="LQ22">
        <v>612.62058999999999</v>
      </c>
    </row>
    <row r="23" spans="1:329" x14ac:dyDescent="0.25">
      <c r="A23" s="5" t="s">
        <v>345</v>
      </c>
      <c r="B23" s="5" t="s">
        <v>279</v>
      </c>
      <c r="C23" s="1">
        <v>1427722</v>
      </c>
      <c r="D23" s="1">
        <v>2209717</v>
      </c>
      <c r="E23" s="1">
        <v>4717623</v>
      </c>
      <c r="F23" s="1">
        <v>5601053</v>
      </c>
      <c r="G23" s="1">
        <v>6020429</v>
      </c>
      <c r="H23" s="1">
        <v>477058</v>
      </c>
      <c r="I23" s="1">
        <v>736215</v>
      </c>
      <c r="J23" s="1">
        <v>1541276</v>
      </c>
      <c r="K23" s="1">
        <v>1878532</v>
      </c>
      <c r="L23" s="1">
        <v>1994400</v>
      </c>
      <c r="M23" s="1">
        <v>1940927</v>
      </c>
      <c r="N23" s="1">
        <v>1431882</v>
      </c>
      <c r="O23" s="1">
        <v>446650</v>
      </c>
      <c r="P23" s="1">
        <v>62395</v>
      </c>
      <c r="Q23" s="1">
        <v>127201</v>
      </c>
      <c r="R23" s="1">
        <v>10568</v>
      </c>
      <c r="S23" s="1">
        <v>154</v>
      </c>
      <c r="T23" s="1">
        <v>4987734</v>
      </c>
      <c r="U23" s="1">
        <v>582041</v>
      </c>
      <c r="V23" s="1">
        <v>31278</v>
      </c>
      <c r="W23" s="1">
        <v>2370</v>
      </c>
      <c r="X23" s="1">
        <v>1615</v>
      </c>
      <c r="Y23" s="2">
        <v>31.66</v>
      </c>
      <c r="Z23" s="1">
        <v>446113</v>
      </c>
      <c r="AA23" s="1">
        <v>452579</v>
      </c>
      <c r="AB23" s="1">
        <v>452588</v>
      </c>
      <c r="AC23" s="1">
        <v>389951</v>
      </c>
      <c r="AD23" s="1">
        <v>347670</v>
      </c>
      <c r="AE23" s="1">
        <v>456715</v>
      </c>
      <c r="AF23" s="1">
        <v>479505</v>
      </c>
      <c r="AG23" s="1">
        <v>460873</v>
      </c>
      <c r="AH23" s="1">
        <v>384793</v>
      </c>
      <c r="AI23" s="1">
        <v>349176</v>
      </c>
      <c r="AJ23" s="1">
        <v>308272</v>
      </c>
      <c r="AK23" s="1">
        <v>293023</v>
      </c>
      <c r="AL23" s="1">
        <v>249798</v>
      </c>
      <c r="AM23" s="1">
        <v>195447</v>
      </c>
      <c r="AN23" s="1">
        <v>143607</v>
      </c>
      <c r="AO23" s="1">
        <v>90691</v>
      </c>
      <c r="AP23" s="1">
        <v>53082</v>
      </c>
      <c r="AQ23" s="1">
        <v>47171</v>
      </c>
      <c r="AR23" s="1">
        <v>2738736</v>
      </c>
      <c r="AS23" s="1">
        <v>2862317</v>
      </c>
      <c r="AT23" s="1">
        <v>2517880</v>
      </c>
      <c r="AU23" s="1">
        <v>1038855</v>
      </c>
      <c r="AV23" s="1">
        <v>26073</v>
      </c>
      <c r="AW23" s="1">
        <v>268834</v>
      </c>
      <c r="AX23" s="1">
        <v>10312</v>
      </c>
      <c r="AY23" s="1">
        <v>16857</v>
      </c>
      <c r="AZ23" s="1">
        <v>126090</v>
      </c>
      <c r="BA23" s="1">
        <v>1596228</v>
      </c>
      <c r="BB23" s="1">
        <v>4249774</v>
      </c>
      <c r="BC23" s="1">
        <v>1387734</v>
      </c>
      <c r="BD23" s="1">
        <v>2051663</v>
      </c>
      <c r="BE23" s="1">
        <v>205351</v>
      </c>
      <c r="BF23" s="1">
        <v>154211</v>
      </c>
      <c r="BG23" s="1">
        <v>450815</v>
      </c>
      <c r="BH23" s="1">
        <v>3512151</v>
      </c>
      <c r="BI23" s="1">
        <v>171959</v>
      </c>
      <c r="BJ23" s="1">
        <v>229548</v>
      </c>
      <c r="BK23" s="1">
        <v>920796</v>
      </c>
      <c r="BL23" s="1">
        <v>858167</v>
      </c>
      <c r="BM23" s="1">
        <v>353767</v>
      </c>
      <c r="BN23" s="1">
        <v>668811</v>
      </c>
      <c r="BO23" s="1">
        <v>309103</v>
      </c>
      <c r="BP23" s="1">
        <v>4168454</v>
      </c>
      <c r="BQ23" s="1">
        <v>38894</v>
      </c>
      <c r="BR23" s="1">
        <v>2794879</v>
      </c>
      <c r="BS23" s="1">
        <v>93634</v>
      </c>
      <c r="BT23" s="1">
        <v>1241047</v>
      </c>
      <c r="BU23" s="1">
        <v>1432046</v>
      </c>
      <c r="BV23" s="1">
        <v>446486</v>
      </c>
      <c r="BW23" s="1">
        <v>573873</v>
      </c>
      <c r="BX23" s="1">
        <v>66150</v>
      </c>
      <c r="BY23" s="1">
        <v>198434</v>
      </c>
      <c r="BZ23" s="1">
        <v>476119</v>
      </c>
      <c r="CA23" s="1">
        <v>36572</v>
      </c>
      <c r="CB23" s="1">
        <v>80350</v>
      </c>
      <c r="CC23" s="2">
        <v>2.96</v>
      </c>
      <c r="CD23" s="1">
        <v>344770</v>
      </c>
      <c r="CE23" s="1">
        <v>538263</v>
      </c>
      <c r="CF23" s="1">
        <v>350858</v>
      </c>
      <c r="CG23" s="1">
        <v>333579</v>
      </c>
      <c r="CH23" s="1">
        <v>179821</v>
      </c>
      <c r="CI23" s="1">
        <v>76724</v>
      </c>
      <c r="CJ23" s="1">
        <v>54516</v>
      </c>
      <c r="CK23" s="2">
        <v>44.9</v>
      </c>
      <c r="CL23" s="1">
        <v>87257</v>
      </c>
      <c r="CM23" s="1">
        <v>399386</v>
      </c>
      <c r="CN23" s="1">
        <v>420994</v>
      </c>
      <c r="CO23" s="1">
        <v>349510</v>
      </c>
      <c r="CP23" s="1">
        <v>302844</v>
      </c>
      <c r="CQ23" s="1">
        <v>200170</v>
      </c>
      <c r="CR23" s="1">
        <v>89652</v>
      </c>
      <c r="CS23" s="1">
        <v>28719</v>
      </c>
      <c r="CT23" s="1">
        <v>47492</v>
      </c>
      <c r="CU23" s="1">
        <v>489877</v>
      </c>
      <c r="CV23" s="1">
        <v>1341165</v>
      </c>
      <c r="CW23" s="1">
        <v>26701</v>
      </c>
      <c r="CX23" s="1">
        <v>70383</v>
      </c>
      <c r="CY23" s="1">
        <v>77951</v>
      </c>
      <c r="CZ23" s="1">
        <v>67506</v>
      </c>
      <c r="DA23" s="1">
        <v>43336</v>
      </c>
      <c r="DB23" s="1">
        <v>52011</v>
      </c>
      <c r="DC23" s="1">
        <v>63540</v>
      </c>
      <c r="DD23" s="1">
        <v>62668</v>
      </c>
      <c r="DE23" s="1">
        <v>69144</v>
      </c>
      <c r="DF23" s="1">
        <v>73859</v>
      </c>
      <c r="DG23" s="1">
        <v>81596</v>
      </c>
      <c r="DH23" s="1">
        <v>82681</v>
      </c>
      <c r="DI23" s="1">
        <v>171127</v>
      </c>
      <c r="DJ23" s="1">
        <v>248161</v>
      </c>
      <c r="DK23" s="1">
        <v>345007</v>
      </c>
      <c r="DL23" s="1">
        <v>194269</v>
      </c>
      <c r="DM23" s="1">
        <v>142250</v>
      </c>
      <c r="DN23" s="1">
        <v>117060</v>
      </c>
      <c r="DO23" s="1">
        <v>64317</v>
      </c>
      <c r="DP23" s="1">
        <v>50706</v>
      </c>
      <c r="DQ23" s="1">
        <v>68661</v>
      </c>
      <c r="DR23" s="1">
        <v>76710</v>
      </c>
      <c r="DS23" s="1">
        <v>82275</v>
      </c>
      <c r="DT23" s="1">
        <v>74286</v>
      </c>
      <c r="DU23" s="1">
        <v>61674</v>
      </c>
      <c r="DV23" s="1">
        <v>48550</v>
      </c>
      <c r="DW23" s="2">
        <v>60032.93</v>
      </c>
      <c r="DX23" s="2">
        <v>28586.26</v>
      </c>
      <c r="DY23" s="2">
        <v>1879.54</v>
      </c>
      <c r="DZ23" s="2">
        <v>415.13</v>
      </c>
      <c r="EA23" s="2">
        <v>2118.5</v>
      </c>
      <c r="EB23" s="2">
        <v>1689.34</v>
      </c>
      <c r="EC23" s="2">
        <v>3387.44</v>
      </c>
      <c r="ED23" s="2">
        <v>8933.07</v>
      </c>
      <c r="EE23" s="2">
        <v>5109.76</v>
      </c>
      <c r="EF23" s="2">
        <v>2107.54</v>
      </c>
      <c r="EG23" s="2">
        <v>12579.67</v>
      </c>
      <c r="EH23" s="2">
        <v>2326.96</v>
      </c>
      <c r="EI23" s="2">
        <v>1126.23</v>
      </c>
      <c r="EJ23" s="2">
        <v>805.51</v>
      </c>
      <c r="EK23" s="2">
        <v>128.44</v>
      </c>
      <c r="EL23" s="2">
        <v>373.88</v>
      </c>
      <c r="EM23" s="2">
        <v>11143.53</v>
      </c>
      <c r="EN23" s="2">
        <v>4509.22</v>
      </c>
      <c r="EO23" s="2">
        <v>1399.17</v>
      </c>
      <c r="EP23" s="1">
        <v>28993</v>
      </c>
      <c r="EQ23" s="1">
        <v>3595</v>
      </c>
      <c r="ER23" s="1">
        <v>596</v>
      </c>
      <c r="ES23" s="1">
        <v>5239</v>
      </c>
      <c r="ET23" s="1">
        <v>30113</v>
      </c>
      <c r="EU23" s="1">
        <v>54114</v>
      </c>
      <c r="EV23" s="1">
        <v>93249</v>
      </c>
      <c r="EW23" s="1">
        <v>5618</v>
      </c>
      <c r="EX23" s="1">
        <v>19596</v>
      </c>
      <c r="EY23" s="1">
        <v>3320</v>
      </c>
      <c r="EZ23" s="1">
        <v>245213</v>
      </c>
      <c r="FA23" s="1">
        <v>22814</v>
      </c>
      <c r="FB23" s="1">
        <v>157008</v>
      </c>
      <c r="FC23" s="1">
        <v>37059</v>
      </c>
      <c r="FD23" s="1">
        <v>23861</v>
      </c>
      <c r="FE23" s="1">
        <v>102903</v>
      </c>
      <c r="FF23" s="1">
        <v>4383</v>
      </c>
      <c r="FG23" s="1">
        <v>360344</v>
      </c>
      <c r="FH23" s="1">
        <v>57784</v>
      </c>
      <c r="FI23" s="1">
        <v>16732</v>
      </c>
      <c r="FJ23" s="1">
        <v>788</v>
      </c>
      <c r="FK23" s="1">
        <v>2610</v>
      </c>
      <c r="FL23" s="1">
        <v>6700</v>
      </c>
      <c r="FM23" s="1">
        <v>1150</v>
      </c>
      <c r="FN23" s="1">
        <v>89896</v>
      </c>
      <c r="FO23" s="1">
        <v>516205</v>
      </c>
      <c r="FP23" s="1">
        <v>100</v>
      </c>
      <c r="FQ23" s="1">
        <v>82</v>
      </c>
      <c r="FR23" s="1">
        <v>80</v>
      </c>
      <c r="FS23" s="1">
        <v>83</v>
      </c>
      <c r="FT23" s="1">
        <v>86</v>
      </c>
      <c r="FU23" s="1">
        <v>80</v>
      </c>
      <c r="FV23" s="1">
        <v>102</v>
      </c>
      <c r="FW23" s="1">
        <v>107</v>
      </c>
      <c r="FX23" s="1">
        <v>100</v>
      </c>
      <c r="FY23" s="1">
        <v>111</v>
      </c>
      <c r="FZ23" s="3">
        <v>-1.7000000000000001E-2</v>
      </c>
      <c r="GA23" s="3">
        <v>0.74299999999999999</v>
      </c>
      <c r="GB23" s="3">
        <v>-0.83199999999999996</v>
      </c>
      <c r="GC23" s="3">
        <v>0.47199999999999998</v>
      </c>
      <c r="GD23" s="3">
        <v>0.222</v>
      </c>
      <c r="GE23" s="3">
        <v>-0.39500000000000002</v>
      </c>
      <c r="GF23" s="3">
        <v>0.13800000000000001</v>
      </c>
      <c r="GG23" s="3">
        <v>0.29499999999999998</v>
      </c>
      <c r="GH23" s="3">
        <v>9.6000000000000002E-2</v>
      </c>
      <c r="GI23" s="3">
        <v>-6.4000000000000001E-2</v>
      </c>
      <c r="GJ23" s="3">
        <v>-1.274</v>
      </c>
      <c r="GK23" s="3">
        <v>-0.114</v>
      </c>
      <c r="GL23" s="3">
        <v>2.4180000000000001</v>
      </c>
      <c r="GM23" s="3">
        <v>-0.13300000000000001</v>
      </c>
      <c r="GN23" s="3">
        <v>0.153</v>
      </c>
      <c r="GO23" s="3">
        <v>-0.11799999999999999</v>
      </c>
      <c r="GP23" s="3">
        <v>-0.55900000000000005</v>
      </c>
      <c r="GQ23" s="3">
        <v>0.12</v>
      </c>
      <c r="GR23" s="3">
        <v>-4.7E-2</v>
      </c>
      <c r="GS23" s="3">
        <v>-0.11799999999999999</v>
      </c>
      <c r="GT23" s="3">
        <v>-6.6000000000000003E-2</v>
      </c>
      <c r="GU23" s="3">
        <v>-0.128</v>
      </c>
      <c r="GV23" s="3">
        <v>-0.16700000000000001</v>
      </c>
      <c r="GW23" s="3">
        <v>1.6E-2</v>
      </c>
      <c r="GX23" s="3">
        <v>-0.129</v>
      </c>
      <c r="GY23" s="3">
        <v>0.02</v>
      </c>
      <c r="GZ23" s="4">
        <v>104</v>
      </c>
      <c r="HA23" s="4">
        <v>117</v>
      </c>
      <c r="HB23" s="4">
        <v>99</v>
      </c>
      <c r="HC23" s="4">
        <v>94</v>
      </c>
      <c r="HD23" s="4">
        <v>85</v>
      </c>
      <c r="HE23" s="4">
        <v>101</v>
      </c>
      <c r="HF23" s="1">
        <v>10021</v>
      </c>
      <c r="HG23" s="1">
        <v>8901</v>
      </c>
      <c r="HH23" s="1">
        <v>7306</v>
      </c>
      <c r="HI23" s="1">
        <v>5579</v>
      </c>
      <c r="HJ23" s="1">
        <v>5149</v>
      </c>
      <c r="HK23" s="1">
        <v>5840</v>
      </c>
      <c r="HL23" s="1">
        <v>4039</v>
      </c>
      <c r="HM23" s="1">
        <v>10031</v>
      </c>
      <c r="HN23" s="1">
        <v>13738</v>
      </c>
      <c r="HO23" s="1">
        <v>18199</v>
      </c>
      <c r="HP23" s="1">
        <v>24834</v>
      </c>
      <c r="HQ23" s="1">
        <v>39554</v>
      </c>
      <c r="HR23" s="1">
        <v>48488</v>
      </c>
      <c r="HS23" s="1">
        <v>167219</v>
      </c>
      <c r="HT23" s="1">
        <v>191741</v>
      </c>
      <c r="HU23" s="1">
        <v>190429</v>
      </c>
      <c r="HV23" s="1">
        <v>107945</v>
      </c>
      <c r="HW23" s="1">
        <v>123787</v>
      </c>
      <c r="HX23" s="1">
        <v>67898</v>
      </c>
      <c r="HY23" s="1">
        <v>62901</v>
      </c>
      <c r="HZ23" s="1">
        <v>23394</v>
      </c>
      <c r="IA23" s="1">
        <v>18494</v>
      </c>
      <c r="IB23" s="1">
        <v>5609</v>
      </c>
      <c r="IC23" s="1">
        <v>6217</v>
      </c>
      <c r="ID23" s="1">
        <v>153021</v>
      </c>
      <c r="IE23" s="1">
        <v>3038</v>
      </c>
      <c r="IF23" s="1">
        <v>2194</v>
      </c>
      <c r="IG23" s="1">
        <v>2690</v>
      </c>
      <c r="IH23" s="1">
        <v>3091</v>
      </c>
      <c r="II23" s="1">
        <v>3404</v>
      </c>
      <c r="IJ23" s="1">
        <v>5610</v>
      </c>
      <c r="IK23" s="1">
        <v>6932</v>
      </c>
      <c r="IL23" s="1">
        <v>10231</v>
      </c>
      <c r="IM23" s="1">
        <v>11256</v>
      </c>
      <c r="IN23" s="1">
        <v>16050</v>
      </c>
      <c r="IO23" s="1">
        <v>17449</v>
      </c>
      <c r="IP23" s="1">
        <v>20545</v>
      </c>
      <c r="IQ23" s="1">
        <v>20307</v>
      </c>
      <c r="IR23" s="1">
        <v>20728</v>
      </c>
      <c r="IS23" s="1">
        <v>21904</v>
      </c>
      <c r="IT23" s="1">
        <v>43410</v>
      </c>
      <c r="IU23" s="1">
        <v>38068</v>
      </c>
      <c r="IV23" s="1">
        <v>65842</v>
      </c>
      <c r="IW23">
        <v>22837</v>
      </c>
      <c r="IX23">
        <v>11096</v>
      </c>
      <c r="IY23">
        <v>2533</v>
      </c>
      <c r="IZ23">
        <v>18968</v>
      </c>
      <c r="JA23">
        <v>820</v>
      </c>
      <c r="JB23">
        <v>1076266</v>
      </c>
      <c r="JC23">
        <v>49925</v>
      </c>
      <c r="JD23">
        <v>1810</v>
      </c>
      <c r="JE23">
        <v>4726</v>
      </c>
      <c r="JF23">
        <v>4659</v>
      </c>
      <c r="JG23">
        <v>3154</v>
      </c>
      <c r="JH23">
        <v>892</v>
      </c>
      <c r="JI23">
        <v>1132</v>
      </c>
      <c r="JJ23">
        <v>48301</v>
      </c>
      <c r="JK23">
        <v>376</v>
      </c>
      <c r="JL23">
        <v>195129</v>
      </c>
      <c r="JM23">
        <v>25280</v>
      </c>
      <c r="JN23">
        <v>15728</v>
      </c>
      <c r="JO23">
        <v>22072</v>
      </c>
      <c r="JP23">
        <v>30356</v>
      </c>
      <c r="JQ23">
        <v>32639</v>
      </c>
      <c r="JR23">
        <v>17412</v>
      </c>
      <c r="JS23">
        <v>15814</v>
      </c>
      <c r="JT23">
        <v>19803</v>
      </c>
      <c r="JU23">
        <v>165</v>
      </c>
      <c r="JV23">
        <v>320147</v>
      </c>
      <c r="JW23">
        <v>477263</v>
      </c>
      <c r="JX23">
        <v>284972</v>
      </c>
      <c r="JY23">
        <v>170357</v>
      </c>
      <c r="JZ23">
        <v>135355</v>
      </c>
      <c r="KA23">
        <v>65827</v>
      </c>
      <c r="KB23">
        <v>53665</v>
      </c>
      <c r="KC23">
        <v>22462</v>
      </c>
      <c r="KD23">
        <v>35591</v>
      </c>
      <c r="KE23">
        <v>12342</v>
      </c>
      <c r="KF23">
        <v>13119</v>
      </c>
      <c r="KG23">
        <v>136059</v>
      </c>
      <c r="KH23">
        <v>203667</v>
      </c>
      <c r="KI23">
        <v>66506</v>
      </c>
      <c r="KJ23">
        <v>270932</v>
      </c>
      <c r="KK23">
        <v>115443</v>
      </c>
      <c r="KL23">
        <v>19239</v>
      </c>
      <c r="KM23">
        <v>49113</v>
      </c>
      <c r="KN23">
        <v>118066</v>
      </c>
      <c r="KO23">
        <v>39305</v>
      </c>
      <c r="KP23">
        <v>114313</v>
      </c>
      <c r="KQ23">
        <v>1292</v>
      </c>
      <c r="KR23">
        <v>100212</v>
      </c>
      <c r="KS23">
        <v>206579</v>
      </c>
      <c r="KT23">
        <v>283570</v>
      </c>
      <c r="KU23">
        <v>41251</v>
      </c>
      <c r="KV23">
        <v>145662</v>
      </c>
      <c r="KW23">
        <v>105469</v>
      </c>
      <c r="KX23">
        <v>139927</v>
      </c>
      <c r="KY23">
        <v>1517407</v>
      </c>
      <c r="KZ23">
        <v>53914</v>
      </c>
      <c r="LA23">
        <v>133670</v>
      </c>
      <c r="LB23">
        <v>182708</v>
      </c>
      <c r="LC23">
        <v>98337</v>
      </c>
      <c r="LD23">
        <v>88686</v>
      </c>
      <c r="LE23">
        <v>105635</v>
      </c>
      <c r="LF23">
        <v>1709</v>
      </c>
      <c r="LG23">
        <v>1139061</v>
      </c>
      <c r="LH23">
        <v>53638</v>
      </c>
      <c r="LI23">
        <v>258929</v>
      </c>
      <c r="LJ23">
        <v>5441</v>
      </c>
      <c r="LK23">
        <v>44707</v>
      </c>
      <c r="LL23">
        <v>12263</v>
      </c>
      <c r="LM23">
        <v>35299</v>
      </c>
      <c r="LN23">
        <v>1640</v>
      </c>
      <c r="LO23">
        <v>14661</v>
      </c>
      <c r="LP23">
        <v>7107.5883800000001</v>
      </c>
      <c r="LQ23">
        <v>735.30945999999994</v>
      </c>
    </row>
    <row r="24" spans="1:329" x14ac:dyDescent="0.25">
      <c r="A24" s="5" t="s">
        <v>346</v>
      </c>
      <c r="B24" s="5" t="s">
        <v>789</v>
      </c>
      <c r="C24" s="1">
        <v>8498297</v>
      </c>
      <c r="D24" s="1">
        <v>9109991</v>
      </c>
      <c r="E24" s="1">
        <v>9338666</v>
      </c>
      <c r="F24" s="1">
        <v>9336881</v>
      </c>
      <c r="G24" s="1">
        <v>9393194</v>
      </c>
      <c r="H24" s="1">
        <v>3062285</v>
      </c>
      <c r="I24" s="1">
        <v>3445215</v>
      </c>
      <c r="J24" s="1">
        <v>3673726</v>
      </c>
      <c r="K24" s="1">
        <v>3872573</v>
      </c>
      <c r="L24" s="1">
        <v>3915831</v>
      </c>
      <c r="M24" s="1">
        <v>4164734</v>
      </c>
      <c r="N24" s="1">
        <v>3188723</v>
      </c>
      <c r="O24" s="1">
        <v>683850</v>
      </c>
      <c r="P24" s="1">
        <v>292161</v>
      </c>
      <c r="Q24" s="1">
        <v>354065</v>
      </c>
      <c r="R24" s="1">
        <v>95197</v>
      </c>
      <c r="S24" s="1">
        <v>1344</v>
      </c>
      <c r="T24" s="1">
        <v>7900491</v>
      </c>
      <c r="U24" s="1">
        <v>1363455</v>
      </c>
      <c r="V24" s="1">
        <v>72935</v>
      </c>
      <c r="W24" s="1">
        <v>7311</v>
      </c>
      <c r="X24" s="1">
        <v>289</v>
      </c>
      <c r="Y24" s="2">
        <v>43.12</v>
      </c>
      <c r="Z24" s="1">
        <v>483081</v>
      </c>
      <c r="AA24" s="1">
        <v>529716</v>
      </c>
      <c r="AB24" s="1">
        <v>588000</v>
      </c>
      <c r="AC24" s="1">
        <v>562686</v>
      </c>
      <c r="AD24" s="1">
        <v>473814</v>
      </c>
      <c r="AE24" s="1">
        <v>517092</v>
      </c>
      <c r="AF24" s="1">
        <v>515758</v>
      </c>
      <c r="AG24" s="1">
        <v>551676</v>
      </c>
      <c r="AH24" s="1">
        <v>541983</v>
      </c>
      <c r="AI24" s="1">
        <v>615874</v>
      </c>
      <c r="AJ24" s="1">
        <v>660372</v>
      </c>
      <c r="AK24" s="1">
        <v>743856</v>
      </c>
      <c r="AL24" s="1">
        <v>716777</v>
      </c>
      <c r="AM24" s="1">
        <v>621826</v>
      </c>
      <c r="AN24" s="1">
        <v>492046</v>
      </c>
      <c r="AO24" s="1">
        <v>330932</v>
      </c>
      <c r="AP24" s="1">
        <v>203802</v>
      </c>
      <c r="AQ24" s="1">
        <v>187587</v>
      </c>
      <c r="AR24" s="1">
        <v>4670190</v>
      </c>
      <c r="AS24" s="1">
        <v>4666691</v>
      </c>
      <c r="AT24" s="1">
        <v>8500391</v>
      </c>
      <c r="AU24" s="1">
        <v>232618</v>
      </c>
      <c r="AV24" s="1">
        <v>35204</v>
      </c>
      <c r="AW24" s="1">
        <v>88996</v>
      </c>
      <c r="AX24" s="1">
        <v>2824</v>
      </c>
      <c r="AY24" s="1">
        <v>4296</v>
      </c>
      <c r="AZ24" s="1">
        <v>135826</v>
      </c>
      <c r="BA24" s="1">
        <v>337441</v>
      </c>
      <c r="BB24" s="1">
        <v>7736082</v>
      </c>
      <c r="BC24" s="1">
        <v>1884026</v>
      </c>
      <c r="BD24" s="1">
        <v>4278913</v>
      </c>
      <c r="BE24" s="1">
        <v>221435</v>
      </c>
      <c r="BF24" s="1">
        <v>496549</v>
      </c>
      <c r="BG24" s="1">
        <v>855159</v>
      </c>
      <c r="BH24" s="1">
        <v>6699581</v>
      </c>
      <c r="BI24" s="1">
        <v>189267</v>
      </c>
      <c r="BJ24" s="1">
        <v>442254</v>
      </c>
      <c r="BK24" s="1">
        <v>2536351</v>
      </c>
      <c r="BL24" s="1">
        <v>1389776</v>
      </c>
      <c r="BM24" s="1">
        <v>695273</v>
      </c>
      <c r="BN24" s="1">
        <v>945575</v>
      </c>
      <c r="BO24" s="1">
        <v>501085</v>
      </c>
      <c r="BP24" s="1">
        <v>7624311</v>
      </c>
      <c r="BQ24" s="1">
        <v>7150</v>
      </c>
      <c r="BR24" s="1">
        <v>4600286</v>
      </c>
      <c r="BS24" s="1">
        <v>138717</v>
      </c>
      <c r="BT24" s="1">
        <v>2878158</v>
      </c>
      <c r="BU24" s="1">
        <v>2729687</v>
      </c>
      <c r="BV24" s="1">
        <v>1142886</v>
      </c>
      <c r="BW24" s="1">
        <v>789998</v>
      </c>
      <c r="BX24" s="1">
        <v>103528</v>
      </c>
      <c r="BY24" s="1">
        <v>201657</v>
      </c>
      <c r="BZ24" s="1">
        <v>1431906</v>
      </c>
      <c r="CA24" s="1">
        <v>70411</v>
      </c>
      <c r="CB24" s="1">
        <v>131024</v>
      </c>
      <c r="CC24" s="2">
        <v>2.39</v>
      </c>
      <c r="CD24" s="1">
        <v>964685</v>
      </c>
      <c r="CE24" s="1">
        <v>1577078</v>
      </c>
      <c r="CF24" s="1">
        <v>564727</v>
      </c>
      <c r="CG24" s="1">
        <v>459682</v>
      </c>
      <c r="CH24" s="1">
        <v>197988</v>
      </c>
      <c r="CI24" s="1">
        <v>69522</v>
      </c>
      <c r="CJ24" s="1">
        <v>38892</v>
      </c>
      <c r="CK24" s="2">
        <v>55.03</v>
      </c>
      <c r="CL24" s="1">
        <v>125148</v>
      </c>
      <c r="CM24" s="1">
        <v>462029</v>
      </c>
      <c r="CN24" s="1">
        <v>566435</v>
      </c>
      <c r="CO24" s="1">
        <v>695798</v>
      </c>
      <c r="CP24" s="1">
        <v>841340</v>
      </c>
      <c r="CQ24" s="1">
        <v>688558</v>
      </c>
      <c r="CR24" s="1">
        <v>362002</v>
      </c>
      <c r="CS24" s="1">
        <v>131263</v>
      </c>
      <c r="CT24" s="1">
        <v>142791</v>
      </c>
      <c r="CU24" s="1">
        <v>970802</v>
      </c>
      <c r="CV24" s="1">
        <v>2758982</v>
      </c>
      <c r="CW24" s="1">
        <v>31644</v>
      </c>
      <c r="CX24" s="1">
        <v>63336</v>
      </c>
      <c r="CY24" s="1">
        <v>75318</v>
      </c>
      <c r="CZ24" s="1">
        <v>145769</v>
      </c>
      <c r="DA24" s="1">
        <v>124764</v>
      </c>
      <c r="DB24" s="1">
        <v>155126</v>
      </c>
      <c r="DC24" s="1">
        <v>176678</v>
      </c>
      <c r="DD24" s="1">
        <v>165169</v>
      </c>
      <c r="DE24" s="1">
        <v>170784</v>
      </c>
      <c r="DF24" s="1">
        <v>176660</v>
      </c>
      <c r="DG24" s="1">
        <v>185594</v>
      </c>
      <c r="DH24" s="1">
        <v>177615</v>
      </c>
      <c r="DI24" s="1">
        <v>351074</v>
      </c>
      <c r="DJ24" s="1">
        <v>481155</v>
      </c>
      <c r="DK24" s="1">
        <v>641242</v>
      </c>
      <c r="DL24" s="1">
        <v>339887</v>
      </c>
      <c r="DM24" s="1">
        <v>248672</v>
      </c>
      <c r="DN24" s="1">
        <v>207360</v>
      </c>
      <c r="DO24" s="1">
        <v>125025</v>
      </c>
      <c r="DP24" s="1">
        <v>45682</v>
      </c>
      <c r="DQ24" s="1">
        <v>62887</v>
      </c>
      <c r="DR24" s="1">
        <v>71170</v>
      </c>
      <c r="DS24" s="1">
        <v>77901</v>
      </c>
      <c r="DT24" s="1">
        <v>70282</v>
      </c>
      <c r="DU24" s="1">
        <v>57182</v>
      </c>
      <c r="DV24" s="1">
        <v>43348</v>
      </c>
      <c r="DW24" s="2">
        <v>58297.62</v>
      </c>
      <c r="DX24" s="2">
        <v>27680.23</v>
      </c>
      <c r="DY24" s="2">
        <v>1868.41</v>
      </c>
      <c r="DZ24" s="2">
        <v>405.8</v>
      </c>
      <c r="EA24" s="2">
        <v>2017.17</v>
      </c>
      <c r="EB24" s="2">
        <v>1595.63</v>
      </c>
      <c r="EC24" s="2">
        <v>3278.81</v>
      </c>
      <c r="ED24" s="2">
        <v>8626.2900000000009</v>
      </c>
      <c r="EE24" s="2">
        <v>5088.7</v>
      </c>
      <c r="EF24" s="2">
        <v>2043.53</v>
      </c>
      <c r="EG24" s="2">
        <v>12188.61</v>
      </c>
      <c r="EH24" s="2">
        <v>2272.9</v>
      </c>
      <c r="EI24" s="2">
        <v>1102.6199999999999</v>
      </c>
      <c r="EJ24" s="2">
        <v>782.49</v>
      </c>
      <c r="EK24" s="2">
        <v>127.69</v>
      </c>
      <c r="EL24" s="2">
        <v>369.62</v>
      </c>
      <c r="EM24" s="2">
        <v>10734.51</v>
      </c>
      <c r="EN24" s="2">
        <v>4419.04</v>
      </c>
      <c r="EO24" s="2">
        <v>1375.8</v>
      </c>
      <c r="EP24" s="1">
        <v>31539</v>
      </c>
      <c r="EQ24" s="1">
        <v>4439</v>
      </c>
      <c r="ER24" s="1">
        <v>851</v>
      </c>
      <c r="ES24" s="1">
        <v>5923</v>
      </c>
      <c r="ET24" s="1">
        <v>26304</v>
      </c>
      <c r="EU24" s="1">
        <v>48722</v>
      </c>
      <c r="EV24" s="1">
        <v>99601</v>
      </c>
      <c r="EW24" s="1">
        <v>6890</v>
      </c>
      <c r="EX24" s="1">
        <v>17505</v>
      </c>
      <c r="EY24" s="1">
        <v>2685</v>
      </c>
      <c r="EZ24" s="1">
        <v>242660</v>
      </c>
      <c r="FA24" s="1">
        <v>19904</v>
      </c>
      <c r="FB24" s="1">
        <v>129339</v>
      </c>
      <c r="FC24" s="1">
        <v>32812</v>
      </c>
      <c r="FD24" s="1">
        <v>19628</v>
      </c>
      <c r="FE24" s="1">
        <v>92843</v>
      </c>
      <c r="FF24" s="1">
        <v>3256</v>
      </c>
      <c r="FG24" s="1">
        <v>320806</v>
      </c>
      <c r="FH24" s="1">
        <v>46154</v>
      </c>
      <c r="FI24" s="1">
        <v>14766</v>
      </c>
      <c r="FJ24" s="1">
        <v>569</v>
      </c>
      <c r="FK24" s="1">
        <v>2464</v>
      </c>
      <c r="FL24" s="1">
        <v>5595</v>
      </c>
      <c r="FM24" s="1">
        <v>996</v>
      </c>
      <c r="FN24" s="1">
        <v>77925</v>
      </c>
      <c r="FO24" s="1">
        <v>486245</v>
      </c>
      <c r="FP24" s="1">
        <v>54</v>
      </c>
      <c r="FQ24" s="1">
        <v>44</v>
      </c>
      <c r="FR24" s="1">
        <v>37</v>
      </c>
      <c r="FS24" s="1">
        <v>98</v>
      </c>
      <c r="FT24" s="1">
        <v>18</v>
      </c>
      <c r="FU24" s="1">
        <v>46</v>
      </c>
      <c r="FV24" s="1">
        <v>56</v>
      </c>
      <c r="FW24" s="1">
        <v>54</v>
      </c>
      <c r="FX24" s="1">
        <v>59</v>
      </c>
      <c r="FY24" s="1">
        <v>32</v>
      </c>
      <c r="FZ24" s="3">
        <v>-0.57999999999999996</v>
      </c>
      <c r="GA24" s="3">
        <v>0.60199999999999998</v>
      </c>
      <c r="GB24" s="3">
        <v>0.34499999999999997</v>
      </c>
      <c r="GC24" s="3">
        <v>-0.57799999999999996</v>
      </c>
      <c r="GD24" s="3">
        <v>-0.17199999999999999</v>
      </c>
      <c r="GE24" s="3">
        <v>0.66700000000000004</v>
      </c>
      <c r="GF24" s="3">
        <v>-0.16300000000000001</v>
      </c>
      <c r="GG24" s="3">
        <v>-0.153</v>
      </c>
      <c r="GH24" s="3">
        <v>-0.152</v>
      </c>
      <c r="GI24" s="3">
        <v>-4.4999999999999998E-2</v>
      </c>
      <c r="GJ24" s="3">
        <v>-0.42199999999999999</v>
      </c>
      <c r="GK24" s="3">
        <v>-0.183</v>
      </c>
      <c r="GL24" s="3">
        <v>-0.17199999999999999</v>
      </c>
      <c r="GM24" s="3">
        <v>-3.3000000000000002E-2</v>
      </c>
      <c r="GN24" s="3">
        <v>0.30199999999999999</v>
      </c>
      <c r="GO24" s="3">
        <v>0.112</v>
      </c>
      <c r="GP24" s="3">
        <v>-0.17</v>
      </c>
      <c r="GQ24" s="3">
        <v>-0.14799999999999999</v>
      </c>
      <c r="GR24" s="3">
        <v>-5.5E-2</v>
      </c>
      <c r="GS24" s="3">
        <v>-5.8000000000000003E-2</v>
      </c>
      <c r="GT24" s="3">
        <v>-7.0000000000000007E-2</v>
      </c>
      <c r="GU24" s="3">
        <v>-0.16800000000000001</v>
      </c>
      <c r="GV24" s="3">
        <v>5.6000000000000001E-2</v>
      </c>
      <c r="GW24" s="3">
        <v>-8.3000000000000004E-2</v>
      </c>
      <c r="GX24" s="3">
        <v>-4.2999999999999997E-2</v>
      </c>
      <c r="GY24" s="3">
        <v>-3.2000000000000001E-2</v>
      </c>
      <c r="GZ24" s="4">
        <v>94</v>
      </c>
      <c r="HA24" s="4">
        <v>101</v>
      </c>
      <c r="HB24" s="4">
        <v>74</v>
      </c>
      <c r="HC24" s="4">
        <v>128</v>
      </c>
      <c r="HD24" s="4">
        <v>52</v>
      </c>
      <c r="HE24" s="4">
        <v>91</v>
      </c>
      <c r="HF24" s="1">
        <v>51505</v>
      </c>
      <c r="HG24" s="1">
        <v>37340</v>
      </c>
      <c r="HH24" s="1">
        <v>31449</v>
      </c>
      <c r="HI24" s="1">
        <v>29573</v>
      </c>
      <c r="HJ24" s="1">
        <v>26808</v>
      </c>
      <c r="HK24" s="1">
        <v>32228</v>
      </c>
      <c r="HL24" s="1">
        <v>21563</v>
      </c>
      <c r="HM24" s="1">
        <v>65418</v>
      </c>
      <c r="HN24" s="1">
        <v>84810</v>
      </c>
      <c r="HO24" s="1">
        <v>105709</v>
      </c>
      <c r="HP24" s="1">
        <v>135806</v>
      </c>
      <c r="HQ24" s="1">
        <v>171509</v>
      </c>
      <c r="HR24" s="1">
        <v>159132</v>
      </c>
      <c r="HS24" s="1">
        <v>400926</v>
      </c>
      <c r="HT24" s="1">
        <v>326591</v>
      </c>
      <c r="HU24" s="1">
        <v>360054</v>
      </c>
      <c r="HV24" s="1">
        <v>211474</v>
      </c>
      <c r="HW24" s="1">
        <v>290498</v>
      </c>
      <c r="HX24" s="1">
        <v>177978</v>
      </c>
      <c r="HY24" s="1">
        <v>157448</v>
      </c>
      <c r="HZ24" s="1">
        <v>60150</v>
      </c>
      <c r="IA24" s="1">
        <v>52694</v>
      </c>
      <c r="IB24" s="1">
        <v>15311</v>
      </c>
      <c r="IC24" s="1">
        <v>18423</v>
      </c>
      <c r="ID24" s="1">
        <v>137126</v>
      </c>
      <c r="IE24" s="1">
        <v>7038</v>
      </c>
      <c r="IF24" s="1">
        <v>8779</v>
      </c>
      <c r="IG24" s="1">
        <v>11479</v>
      </c>
      <c r="IH24" s="1">
        <v>18389</v>
      </c>
      <c r="II24" s="1">
        <v>20112</v>
      </c>
      <c r="IJ24" s="1">
        <v>36486</v>
      </c>
      <c r="IK24" s="1">
        <v>43322</v>
      </c>
      <c r="IL24" s="1">
        <v>59073</v>
      </c>
      <c r="IM24" s="1">
        <v>53759</v>
      </c>
      <c r="IN24" s="1">
        <v>56918</v>
      </c>
      <c r="IO24" s="1">
        <v>44202</v>
      </c>
      <c r="IP24" s="1">
        <v>41813</v>
      </c>
      <c r="IQ24" s="1">
        <v>33475</v>
      </c>
      <c r="IR24" s="1">
        <v>25579</v>
      </c>
      <c r="IS24" s="1">
        <v>20757</v>
      </c>
      <c r="IT24" s="1">
        <v>31893</v>
      </c>
      <c r="IU24" s="1">
        <v>17193</v>
      </c>
      <c r="IV24" s="1">
        <v>23207</v>
      </c>
      <c r="IW24">
        <v>4742</v>
      </c>
      <c r="IX24">
        <v>4177</v>
      </c>
      <c r="IY24">
        <v>3020</v>
      </c>
      <c r="IZ24">
        <v>62760</v>
      </c>
      <c r="JA24">
        <v>497</v>
      </c>
      <c r="JB24">
        <v>2371288</v>
      </c>
      <c r="JC24">
        <v>49336</v>
      </c>
      <c r="JD24">
        <v>12467</v>
      </c>
      <c r="JE24">
        <v>4221</v>
      </c>
      <c r="JF24">
        <v>2323</v>
      </c>
      <c r="JG24">
        <v>1310</v>
      </c>
      <c r="JH24">
        <v>870</v>
      </c>
      <c r="JI24">
        <v>2052</v>
      </c>
      <c r="JJ24">
        <v>184315</v>
      </c>
      <c r="JK24">
        <v>1159</v>
      </c>
      <c r="JL24">
        <v>268395</v>
      </c>
      <c r="JM24">
        <v>19434</v>
      </c>
      <c r="JN24">
        <v>41697</v>
      </c>
      <c r="JO24">
        <v>38985</v>
      </c>
      <c r="JP24">
        <v>30489</v>
      </c>
      <c r="JQ24">
        <v>17995</v>
      </c>
      <c r="JR24">
        <v>12211</v>
      </c>
      <c r="JS24">
        <v>9888</v>
      </c>
      <c r="JT24">
        <v>58049</v>
      </c>
      <c r="JU24">
        <v>416</v>
      </c>
      <c r="JV24">
        <v>131195</v>
      </c>
      <c r="JW24">
        <v>202130</v>
      </c>
      <c r="JX24">
        <v>425449</v>
      </c>
      <c r="JY24">
        <v>332427</v>
      </c>
      <c r="JZ24">
        <v>509987</v>
      </c>
      <c r="KA24">
        <v>347504</v>
      </c>
      <c r="KB24">
        <v>368207</v>
      </c>
      <c r="KC24">
        <v>181279</v>
      </c>
      <c r="KD24">
        <v>628722</v>
      </c>
      <c r="KE24">
        <v>92167</v>
      </c>
      <c r="KF24">
        <v>15252</v>
      </c>
      <c r="KG24">
        <v>276555</v>
      </c>
      <c r="KH24">
        <v>685863</v>
      </c>
      <c r="KI24">
        <v>102398</v>
      </c>
      <c r="KJ24">
        <v>445485</v>
      </c>
      <c r="KK24">
        <v>172525</v>
      </c>
      <c r="KL24">
        <v>42479</v>
      </c>
      <c r="KM24">
        <v>52035</v>
      </c>
      <c r="KN24">
        <v>132554</v>
      </c>
      <c r="KO24">
        <v>41420</v>
      </c>
      <c r="KP24">
        <v>125422</v>
      </c>
      <c r="KQ24">
        <v>1742</v>
      </c>
      <c r="KR24">
        <v>115446</v>
      </c>
      <c r="KS24">
        <v>317582</v>
      </c>
      <c r="KT24">
        <v>533926</v>
      </c>
      <c r="KU24">
        <v>53366</v>
      </c>
      <c r="KV24">
        <v>208570</v>
      </c>
      <c r="KW24">
        <v>183071</v>
      </c>
      <c r="KX24">
        <v>159524</v>
      </c>
      <c r="KY24">
        <v>2568775</v>
      </c>
      <c r="KZ24">
        <v>113566</v>
      </c>
      <c r="LA24">
        <v>308020</v>
      </c>
      <c r="LB24">
        <v>273964</v>
      </c>
      <c r="LC24">
        <v>156333</v>
      </c>
      <c r="LD24">
        <v>73460</v>
      </c>
      <c r="LE24">
        <v>257144</v>
      </c>
      <c r="LF24">
        <v>6120</v>
      </c>
      <c r="LG24">
        <v>2969489</v>
      </c>
      <c r="LH24">
        <v>8624</v>
      </c>
      <c r="LI24">
        <v>63332</v>
      </c>
      <c r="LJ24">
        <v>5973</v>
      </c>
      <c r="LK24">
        <v>60360</v>
      </c>
      <c r="LL24">
        <v>2219</v>
      </c>
      <c r="LM24">
        <v>11205</v>
      </c>
      <c r="LN24">
        <v>404</v>
      </c>
      <c r="LO24">
        <v>5294</v>
      </c>
      <c r="LP24">
        <v>133722.15625</v>
      </c>
      <c r="LQ24">
        <v>59.174120000000002</v>
      </c>
    </row>
    <row r="25" spans="1:329" x14ac:dyDescent="0.25">
      <c r="A25" s="5" t="s">
        <v>347</v>
      </c>
      <c r="B25" s="5" t="s">
        <v>280</v>
      </c>
      <c r="C25" s="1">
        <v>2876695</v>
      </c>
      <c r="D25" s="1">
        <v>3622413</v>
      </c>
      <c r="E25" s="1">
        <v>4063061</v>
      </c>
      <c r="F25" s="1">
        <v>4417598</v>
      </c>
      <c r="G25" s="1">
        <v>4686445</v>
      </c>
      <c r="H25" s="1">
        <v>1039443</v>
      </c>
      <c r="I25" s="1">
        <v>1258695</v>
      </c>
      <c r="J25" s="1">
        <v>1375964</v>
      </c>
      <c r="K25" s="1">
        <v>1538144</v>
      </c>
      <c r="L25" s="1">
        <v>1614101</v>
      </c>
      <c r="M25" s="1">
        <v>1652545</v>
      </c>
      <c r="N25" s="1">
        <v>1064168</v>
      </c>
      <c r="O25" s="1">
        <v>473976</v>
      </c>
      <c r="P25" s="1">
        <v>114401</v>
      </c>
      <c r="Q25" s="1">
        <v>176458</v>
      </c>
      <c r="R25" s="1">
        <v>35498</v>
      </c>
      <c r="S25" s="1">
        <v>2392</v>
      </c>
      <c r="T25" s="1">
        <v>3784607</v>
      </c>
      <c r="U25" s="1">
        <v>578710</v>
      </c>
      <c r="V25" s="1">
        <v>54281</v>
      </c>
      <c r="W25" s="1">
        <v>2875</v>
      </c>
      <c r="X25" s="1">
        <v>266</v>
      </c>
      <c r="Y25" s="2">
        <v>34.5</v>
      </c>
      <c r="Z25" s="1">
        <v>312265</v>
      </c>
      <c r="AA25" s="1">
        <v>315941</v>
      </c>
      <c r="AB25" s="1">
        <v>325238</v>
      </c>
      <c r="AC25" s="1">
        <v>309359</v>
      </c>
      <c r="AD25" s="1">
        <v>295372</v>
      </c>
      <c r="AE25" s="1">
        <v>319187</v>
      </c>
      <c r="AF25" s="1">
        <v>301830</v>
      </c>
      <c r="AG25" s="1">
        <v>294331</v>
      </c>
      <c r="AH25" s="1">
        <v>269980</v>
      </c>
      <c r="AI25" s="1">
        <v>272218</v>
      </c>
      <c r="AJ25" s="1">
        <v>263390</v>
      </c>
      <c r="AK25" s="1">
        <v>266935</v>
      </c>
      <c r="AL25" s="1">
        <v>243349</v>
      </c>
      <c r="AM25" s="1">
        <v>207415</v>
      </c>
      <c r="AN25" s="1">
        <v>167229</v>
      </c>
      <c r="AO25" s="1">
        <v>113913</v>
      </c>
      <c r="AP25" s="1">
        <v>72024</v>
      </c>
      <c r="AQ25" s="1">
        <v>67624</v>
      </c>
      <c r="AR25" s="1">
        <v>2221249</v>
      </c>
      <c r="AS25" s="1">
        <v>2196349</v>
      </c>
      <c r="AT25" s="1">
        <v>1872001</v>
      </c>
      <c r="AU25" s="1">
        <v>265260</v>
      </c>
      <c r="AV25" s="1">
        <v>35681</v>
      </c>
      <c r="AW25" s="1">
        <v>145702</v>
      </c>
      <c r="AX25" s="1">
        <v>6918</v>
      </c>
      <c r="AY25" s="1">
        <v>15089</v>
      </c>
      <c r="AZ25" s="1">
        <v>74077</v>
      </c>
      <c r="BA25" s="1">
        <v>2003036</v>
      </c>
      <c r="BB25" s="1">
        <v>3464157</v>
      </c>
      <c r="BC25" s="1">
        <v>1161660</v>
      </c>
      <c r="BD25" s="1">
        <v>1487288</v>
      </c>
      <c r="BE25" s="1">
        <v>213008</v>
      </c>
      <c r="BF25" s="1">
        <v>189504</v>
      </c>
      <c r="BG25" s="1">
        <v>412697</v>
      </c>
      <c r="BH25" s="1">
        <v>2859426</v>
      </c>
      <c r="BI25" s="1">
        <v>310717</v>
      </c>
      <c r="BJ25" s="1">
        <v>324873</v>
      </c>
      <c r="BK25" s="1">
        <v>892743</v>
      </c>
      <c r="BL25" s="1">
        <v>638035</v>
      </c>
      <c r="BM25" s="1">
        <v>218278</v>
      </c>
      <c r="BN25" s="1">
        <v>323215</v>
      </c>
      <c r="BO25" s="1">
        <v>151565</v>
      </c>
      <c r="BP25" s="1">
        <v>3404379</v>
      </c>
      <c r="BQ25" s="1">
        <v>5599</v>
      </c>
      <c r="BR25" s="1">
        <v>1974558</v>
      </c>
      <c r="BS25" s="1">
        <v>89349</v>
      </c>
      <c r="BT25" s="1">
        <v>1334873</v>
      </c>
      <c r="BU25" s="1">
        <v>1085327</v>
      </c>
      <c r="BV25" s="1">
        <v>452817</v>
      </c>
      <c r="BW25" s="1">
        <v>368325</v>
      </c>
      <c r="BX25" s="1">
        <v>64703</v>
      </c>
      <c r="BY25" s="1">
        <v>146120</v>
      </c>
      <c r="BZ25" s="1">
        <v>390267</v>
      </c>
      <c r="CA25" s="1">
        <v>40585</v>
      </c>
      <c r="CB25" s="1">
        <v>74742</v>
      </c>
      <c r="CC25" s="2">
        <v>2.84</v>
      </c>
      <c r="CD25" s="1">
        <v>360440</v>
      </c>
      <c r="CE25" s="1">
        <v>462974</v>
      </c>
      <c r="CF25" s="1">
        <v>238650</v>
      </c>
      <c r="CG25" s="1">
        <v>214859</v>
      </c>
      <c r="CH25" s="1">
        <v>135833</v>
      </c>
      <c r="CI25" s="1">
        <v>66292</v>
      </c>
      <c r="CJ25" s="1">
        <v>59097</v>
      </c>
      <c r="CK25" s="2">
        <v>50.43</v>
      </c>
      <c r="CL25" s="1">
        <v>69322</v>
      </c>
      <c r="CM25" s="1">
        <v>245901</v>
      </c>
      <c r="CN25" s="1">
        <v>273762</v>
      </c>
      <c r="CO25" s="1">
        <v>280290</v>
      </c>
      <c r="CP25" s="1">
        <v>284062</v>
      </c>
      <c r="CQ25" s="1">
        <v>222318</v>
      </c>
      <c r="CR25" s="1">
        <v>118835</v>
      </c>
      <c r="CS25" s="1">
        <v>43653</v>
      </c>
      <c r="CT25" s="1">
        <v>78867</v>
      </c>
      <c r="CU25" s="1">
        <v>482249</v>
      </c>
      <c r="CV25" s="1">
        <v>977029</v>
      </c>
      <c r="CW25" s="1">
        <v>22142</v>
      </c>
      <c r="CX25" s="1">
        <v>51590</v>
      </c>
      <c r="CY25" s="1">
        <v>59681</v>
      </c>
      <c r="CZ25" s="1">
        <v>96345</v>
      </c>
      <c r="DA25" s="1">
        <v>73094</v>
      </c>
      <c r="DB25" s="1">
        <v>81976</v>
      </c>
      <c r="DC25" s="1">
        <v>92318</v>
      </c>
      <c r="DD25" s="1">
        <v>83631</v>
      </c>
      <c r="DE25" s="1">
        <v>80918</v>
      </c>
      <c r="DF25" s="1">
        <v>81197</v>
      </c>
      <c r="DG25" s="1">
        <v>82407</v>
      </c>
      <c r="DH25" s="1">
        <v>74846</v>
      </c>
      <c r="DI25" s="1">
        <v>140453</v>
      </c>
      <c r="DJ25" s="1">
        <v>169064</v>
      </c>
      <c r="DK25" s="1">
        <v>202552</v>
      </c>
      <c r="DL25" s="1">
        <v>102539</v>
      </c>
      <c r="DM25" s="1">
        <v>72967</v>
      </c>
      <c r="DN25" s="1">
        <v>62156</v>
      </c>
      <c r="DO25" s="1">
        <v>41681</v>
      </c>
      <c r="DP25" s="1">
        <v>36624</v>
      </c>
      <c r="DQ25" s="1">
        <v>53253</v>
      </c>
      <c r="DR25" s="1">
        <v>58531</v>
      </c>
      <c r="DS25" s="1">
        <v>61038</v>
      </c>
      <c r="DT25" s="1">
        <v>55933</v>
      </c>
      <c r="DU25" s="1">
        <v>46376</v>
      </c>
      <c r="DV25" s="1">
        <v>35432</v>
      </c>
      <c r="DW25" s="2">
        <v>50962.17</v>
      </c>
      <c r="DX25" s="2">
        <v>24164.79</v>
      </c>
      <c r="DY25" s="2">
        <v>1589.33</v>
      </c>
      <c r="DZ25" s="2">
        <v>343.29</v>
      </c>
      <c r="EA25" s="2">
        <v>1779.86</v>
      </c>
      <c r="EB25" s="2">
        <v>1402.13</v>
      </c>
      <c r="EC25" s="2">
        <v>2831.92</v>
      </c>
      <c r="ED25" s="2">
        <v>7602.14</v>
      </c>
      <c r="EE25" s="2">
        <v>4399.05</v>
      </c>
      <c r="EF25" s="2">
        <v>1760.36</v>
      </c>
      <c r="EG25" s="2">
        <v>10754.7</v>
      </c>
      <c r="EH25" s="2">
        <v>1974.19</v>
      </c>
      <c r="EI25" s="2">
        <v>955.17</v>
      </c>
      <c r="EJ25" s="2">
        <v>682.07</v>
      </c>
      <c r="EK25" s="2">
        <v>109.76</v>
      </c>
      <c r="EL25" s="2">
        <v>337.25</v>
      </c>
      <c r="EM25" s="2">
        <v>9347.64</v>
      </c>
      <c r="EN25" s="2">
        <v>3918.74</v>
      </c>
      <c r="EO25" s="2">
        <v>1174.57</v>
      </c>
      <c r="EP25" s="1">
        <v>24128</v>
      </c>
      <c r="EQ25" s="1">
        <v>3542</v>
      </c>
      <c r="ER25" s="1">
        <v>416</v>
      </c>
      <c r="ES25" s="1">
        <v>4882</v>
      </c>
      <c r="ET25" s="1">
        <v>24774</v>
      </c>
      <c r="EU25" s="1">
        <v>38705</v>
      </c>
      <c r="EV25" s="1">
        <v>70600</v>
      </c>
      <c r="EW25" s="1">
        <v>4035</v>
      </c>
      <c r="EX25" s="1">
        <v>17541</v>
      </c>
      <c r="EY25" s="1">
        <v>3592</v>
      </c>
      <c r="EZ25" s="1">
        <v>192742</v>
      </c>
      <c r="FA25" s="1">
        <v>19422</v>
      </c>
      <c r="FB25" s="1">
        <v>135500</v>
      </c>
      <c r="FC25" s="1">
        <v>34693</v>
      </c>
      <c r="FD25" s="1">
        <v>22082</v>
      </c>
      <c r="FE25" s="1">
        <v>90048</v>
      </c>
      <c r="FF25" s="1">
        <v>3807</v>
      </c>
      <c r="FG25" s="1">
        <v>334706</v>
      </c>
      <c r="FH25" s="1">
        <v>51135</v>
      </c>
      <c r="FI25" s="1">
        <v>14383</v>
      </c>
      <c r="FJ25" s="1">
        <v>506</v>
      </c>
      <c r="FK25" s="1">
        <v>2373</v>
      </c>
      <c r="FL25" s="1">
        <v>6808</v>
      </c>
      <c r="FM25" s="1">
        <v>976</v>
      </c>
      <c r="FN25" s="1">
        <v>84115</v>
      </c>
      <c r="FO25" s="1">
        <v>443718</v>
      </c>
      <c r="FP25" s="1">
        <v>96</v>
      </c>
      <c r="FQ25" s="1">
        <v>101</v>
      </c>
      <c r="FR25" s="1">
        <v>77</v>
      </c>
      <c r="FS25" s="1">
        <v>109</v>
      </c>
      <c r="FT25" s="1">
        <v>69</v>
      </c>
      <c r="FU25" s="1">
        <v>114</v>
      </c>
      <c r="FV25" s="1">
        <v>95</v>
      </c>
      <c r="FW25" s="1">
        <v>110</v>
      </c>
      <c r="FX25" s="1">
        <v>90</v>
      </c>
      <c r="FY25" s="1">
        <v>102</v>
      </c>
      <c r="FZ25" s="3">
        <v>-0.60399999999999998</v>
      </c>
      <c r="GA25" s="3">
        <v>0.20399999999999999</v>
      </c>
      <c r="GB25" s="3">
        <v>-0.20100000000000001</v>
      </c>
      <c r="GC25" s="3">
        <v>1.038</v>
      </c>
      <c r="GD25" s="3">
        <v>-0.77200000000000002</v>
      </c>
      <c r="GE25" s="3">
        <v>0.251</v>
      </c>
      <c r="GF25" s="3">
        <v>-0.22</v>
      </c>
      <c r="GG25" s="3">
        <v>-4.5999999999999999E-2</v>
      </c>
      <c r="GH25" s="3">
        <v>1.222</v>
      </c>
      <c r="GI25" s="3">
        <v>-4.3999999999999997E-2</v>
      </c>
      <c r="GJ25" s="3">
        <v>0.245</v>
      </c>
      <c r="GK25" s="3">
        <v>-0.3</v>
      </c>
      <c r="GL25" s="3">
        <v>0.19800000000000001</v>
      </c>
      <c r="GM25" s="3">
        <v>0.17899999999999999</v>
      </c>
      <c r="GN25" s="3">
        <v>0.13500000000000001</v>
      </c>
      <c r="GO25" s="3">
        <v>9.0999999999999998E-2</v>
      </c>
      <c r="GP25" s="3">
        <v>-0.376</v>
      </c>
      <c r="GQ25" s="3">
        <v>-0.12</v>
      </c>
      <c r="GR25" s="3">
        <v>-0.20599999999999999</v>
      </c>
      <c r="GS25" s="3">
        <v>0.438</v>
      </c>
      <c r="GT25" s="3">
        <v>0.10100000000000001</v>
      </c>
      <c r="GU25" s="3">
        <v>0.14499999999999999</v>
      </c>
      <c r="GV25" s="3">
        <v>0.498</v>
      </c>
      <c r="GW25" s="3">
        <v>0.214</v>
      </c>
      <c r="GX25" s="3">
        <v>-0.24299999999999999</v>
      </c>
      <c r="GY25" s="3">
        <v>-3.5999999999999997E-2</v>
      </c>
      <c r="GZ25" s="4">
        <v>91</v>
      </c>
      <c r="HA25" s="4">
        <v>91</v>
      </c>
      <c r="HB25" s="4">
        <v>86</v>
      </c>
      <c r="HC25" s="4">
        <v>83</v>
      </c>
      <c r="HD25" s="4">
        <v>81</v>
      </c>
      <c r="HE25" s="4">
        <v>120</v>
      </c>
      <c r="HF25" s="1">
        <v>43857</v>
      </c>
      <c r="HG25" s="1">
        <v>27525</v>
      </c>
      <c r="HH25" s="1">
        <v>21437</v>
      </c>
      <c r="HI25" s="1">
        <v>20351</v>
      </c>
      <c r="HJ25" s="1">
        <v>18085</v>
      </c>
      <c r="HK25" s="1">
        <v>19934</v>
      </c>
      <c r="HL25" s="1">
        <v>11962</v>
      </c>
      <c r="HM25" s="1">
        <v>31762</v>
      </c>
      <c r="HN25" s="1">
        <v>35170</v>
      </c>
      <c r="HO25" s="1">
        <v>37333</v>
      </c>
      <c r="HP25" s="1">
        <v>39994</v>
      </c>
      <c r="HQ25" s="1">
        <v>46074</v>
      </c>
      <c r="HR25" s="1">
        <v>39414</v>
      </c>
      <c r="HS25" s="1">
        <v>92673</v>
      </c>
      <c r="HT25" s="1">
        <v>68065</v>
      </c>
      <c r="HU25" s="1">
        <v>80312</v>
      </c>
      <c r="HV25" s="1">
        <v>47963</v>
      </c>
      <c r="HW25" s="1">
        <v>75556</v>
      </c>
      <c r="HX25" s="1">
        <v>51611</v>
      </c>
      <c r="HY25" s="1">
        <v>61567</v>
      </c>
      <c r="HZ25" s="1">
        <v>29745</v>
      </c>
      <c r="IA25" s="1">
        <v>33540</v>
      </c>
      <c r="IB25" s="1">
        <v>11179</v>
      </c>
      <c r="IC25" s="1">
        <v>11748</v>
      </c>
      <c r="ID25" s="1">
        <v>123072</v>
      </c>
      <c r="IE25" s="1">
        <v>3853</v>
      </c>
      <c r="IF25" s="1">
        <v>4436</v>
      </c>
      <c r="IG25" s="1">
        <v>5247</v>
      </c>
      <c r="IH25" s="1">
        <v>8657</v>
      </c>
      <c r="II25" s="1">
        <v>8944</v>
      </c>
      <c r="IJ25" s="1">
        <v>15503</v>
      </c>
      <c r="IK25" s="1">
        <v>16520</v>
      </c>
      <c r="IL25" s="1">
        <v>23005</v>
      </c>
      <c r="IM25" s="1">
        <v>21576</v>
      </c>
      <c r="IN25" s="1">
        <v>30096</v>
      </c>
      <c r="IO25" s="1">
        <v>23481</v>
      </c>
      <c r="IP25" s="1">
        <v>27092</v>
      </c>
      <c r="IQ25" s="1">
        <v>23495</v>
      </c>
      <c r="IR25" s="1">
        <v>20866</v>
      </c>
      <c r="IS25" s="1">
        <v>19014</v>
      </c>
      <c r="IT25" s="1">
        <v>34837</v>
      </c>
      <c r="IU25" s="1">
        <v>22537</v>
      </c>
      <c r="IV25" s="1">
        <v>38550</v>
      </c>
      <c r="IW25">
        <v>11849</v>
      </c>
      <c r="IX25">
        <v>9871</v>
      </c>
      <c r="IY25">
        <v>3808</v>
      </c>
      <c r="IZ25">
        <v>33134</v>
      </c>
      <c r="JA25">
        <v>624</v>
      </c>
      <c r="JB25">
        <v>398112</v>
      </c>
      <c r="JC25">
        <v>14103</v>
      </c>
      <c r="JD25">
        <v>1311</v>
      </c>
      <c r="JE25">
        <v>2301</v>
      </c>
      <c r="JF25">
        <v>2051</v>
      </c>
      <c r="JG25">
        <v>849</v>
      </c>
      <c r="JH25">
        <v>997</v>
      </c>
      <c r="JI25">
        <v>1306</v>
      </c>
      <c r="JJ25">
        <v>386092</v>
      </c>
      <c r="JK25">
        <v>4471</v>
      </c>
      <c r="JL25">
        <v>94888</v>
      </c>
      <c r="JM25">
        <v>10494</v>
      </c>
      <c r="JN25">
        <v>10924</v>
      </c>
      <c r="JO25">
        <v>16780</v>
      </c>
      <c r="JP25">
        <v>16700</v>
      </c>
      <c r="JQ25">
        <v>15035</v>
      </c>
      <c r="JR25">
        <v>9187</v>
      </c>
      <c r="JS25">
        <v>11439</v>
      </c>
      <c r="JT25">
        <v>136482</v>
      </c>
      <c r="JU25">
        <v>1534</v>
      </c>
      <c r="JV25">
        <v>84157</v>
      </c>
      <c r="JW25">
        <v>108233</v>
      </c>
      <c r="JX25">
        <v>227534</v>
      </c>
      <c r="JY25">
        <v>219995</v>
      </c>
      <c r="JZ25">
        <v>239928</v>
      </c>
      <c r="KA25">
        <v>104802</v>
      </c>
      <c r="KB25">
        <v>73114</v>
      </c>
      <c r="KC25">
        <v>32229</v>
      </c>
      <c r="KD25">
        <v>45064</v>
      </c>
      <c r="KE25">
        <v>83196</v>
      </c>
      <c r="KF25">
        <v>16793</v>
      </c>
      <c r="KG25">
        <v>131232</v>
      </c>
      <c r="KH25">
        <v>126623</v>
      </c>
      <c r="KI25">
        <v>39590</v>
      </c>
      <c r="KJ25">
        <v>159649</v>
      </c>
      <c r="KK25">
        <v>61060</v>
      </c>
      <c r="KL25">
        <v>13737</v>
      </c>
      <c r="KM25">
        <v>17974</v>
      </c>
      <c r="KN25">
        <v>35057</v>
      </c>
      <c r="KO25">
        <v>21178</v>
      </c>
      <c r="KP25">
        <v>48951</v>
      </c>
      <c r="KQ25">
        <v>483</v>
      </c>
      <c r="KR25">
        <v>71742</v>
      </c>
      <c r="KS25">
        <v>95324</v>
      </c>
      <c r="KT25">
        <v>145339</v>
      </c>
      <c r="KU25">
        <v>31540</v>
      </c>
      <c r="KV25">
        <v>109401</v>
      </c>
      <c r="KW25">
        <v>72017</v>
      </c>
      <c r="KX25">
        <v>63413</v>
      </c>
      <c r="KY25">
        <v>955161</v>
      </c>
      <c r="KZ25">
        <v>34151</v>
      </c>
      <c r="LA25">
        <v>69146</v>
      </c>
      <c r="LB25">
        <v>95376</v>
      </c>
      <c r="LC25">
        <v>56213</v>
      </c>
      <c r="LD25">
        <v>34338</v>
      </c>
      <c r="LE25">
        <v>97818</v>
      </c>
      <c r="LF25">
        <v>2096</v>
      </c>
      <c r="LG25">
        <v>719967</v>
      </c>
      <c r="LH25">
        <v>102194</v>
      </c>
      <c r="LI25">
        <v>258415</v>
      </c>
      <c r="LJ25">
        <v>3051</v>
      </c>
      <c r="LK25">
        <v>21287</v>
      </c>
      <c r="LL25">
        <v>6047</v>
      </c>
      <c r="LM25">
        <v>16382</v>
      </c>
      <c r="LN25">
        <v>768</v>
      </c>
      <c r="LO25">
        <v>6945</v>
      </c>
      <c r="LP25">
        <v>122710.47656</v>
      </c>
      <c r="LQ25">
        <v>29.277740000000001</v>
      </c>
    </row>
    <row r="26" spans="1:329" x14ac:dyDescent="0.25">
      <c r="A26" s="5" t="s">
        <v>348</v>
      </c>
      <c r="B26" s="5" t="s">
        <v>281</v>
      </c>
      <c r="C26" s="1">
        <v>2104213</v>
      </c>
      <c r="D26" s="1">
        <v>2217615</v>
      </c>
      <c r="E26" s="1">
        <v>2320953</v>
      </c>
      <c r="F26" s="1">
        <v>2497095</v>
      </c>
      <c r="G26" s="1">
        <v>2520707</v>
      </c>
      <c r="H26" s="1">
        <v>1065939</v>
      </c>
      <c r="I26" s="1">
        <v>1132679</v>
      </c>
      <c r="J26" s="1">
        <v>1177453</v>
      </c>
      <c r="K26" s="1">
        <v>1299065</v>
      </c>
      <c r="L26" s="1">
        <v>1346267</v>
      </c>
      <c r="M26" s="1">
        <v>1378725</v>
      </c>
      <c r="N26" s="1">
        <v>368911</v>
      </c>
      <c r="O26" s="1">
        <v>930155</v>
      </c>
      <c r="P26" s="1">
        <v>79659</v>
      </c>
      <c r="Q26" s="1">
        <v>129127</v>
      </c>
      <c r="R26" s="1">
        <v>37531</v>
      </c>
      <c r="S26" s="1">
        <v>56</v>
      </c>
      <c r="T26" s="1">
        <v>1339399</v>
      </c>
      <c r="U26" s="1">
        <v>1097022</v>
      </c>
      <c r="V26" s="1">
        <v>60674</v>
      </c>
      <c r="W26" s="1">
        <v>26803</v>
      </c>
      <c r="X26" s="1">
        <v>375</v>
      </c>
      <c r="Y26" s="2">
        <v>35.869999999999997</v>
      </c>
      <c r="Z26" s="1">
        <v>130652</v>
      </c>
      <c r="AA26" s="1">
        <v>99925</v>
      </c>
      <c r="AB26" s="1">
        <v>83347</v>
      </c>
      <c r="AC26" s="1">
        <v>84560</v>
      </c>
      <c r="AD26" s="1">
        <v>154806</v>
      </c>
      <c r="AE26" s="1">
        <v>298746</v>
      </c>
      <c r="AF26" s="1">
        <v>307395</v>
      </c>
      <c r="AG26" s="1">
        <v>237647</v>
      </c>
      <c r="AH26" s="1">
        <v>171042</v>
      </c>
      <c r="AI26" s="1">
        <v>150811</v>
      </c>
      <c r="AJ26" s="1">
        <v>137140</v>
      </c>
      <c r="AK26" s="1">
        <v>138185</v>
      </c>
      <c r="AL26" s="1">
        <v>133053</v>
      </c>
      <c r="AM26" s="1">
        <v>116665</v>
      </c>
      <c r="AN26" s="1">
        <v>91795</v>
      </c>
      <c r="AO26" s="1">
        <v>64555</v>
      </c>
      <c r="AP26" s="1">
        <v>44044</v>
      </c>
      <c r="AQ26" s="1">
        <v>52723</v>
      </c>
      <c r="AR26" s="1">
        <v>1208611</v>
      </c>
      <c r="AS26" s="1">
        <v>1288484</v>
      </c>
      <c r="AT26" s="1">
        <v>1433482</v>
      </c>
      <c r="AU26" s="1">
        <v>258554</v>
      </c>
      <c r="AV26" s="1">
        <v>3779</v>
      </c>
      <c r="AW26" s="1">
        <v>359021</v>
      </c>
      <c r="AX26" s="1">
        <v>1677</v>
      </c>
      <c r="AY26" s="1">
        <v>9575</v>
      </c>
      <c r="AZ26" s="1">
        <v>57120</v>
      </c>
      <c r="BA26" s="1">
        <v>374004</v>
      </c>
      <c r="BB26" s="1">
        <v>2183169</v>
      </c>
      <c r="BC26" s="1">
        <v>1054086</v>
      </c>
      <c r="BD26" s="1">
        <v>764580</v>
      </c>
      <c r="BE26" s="1">
        <v>106303</v>
      </c>
      <c r="BF26" s="1">
        <v>84421</v>
      </c>
      <c r="BG26" s="1">
        <v>173779</v>
      </c>
      <c r="BH26" s="1">
        <v>1943802</v>
      </c>
      <c r="BI26" s="1">
        <v>75949</v>
      </c>
      <c r="BJ26" s="1">
        <v>71925</v>
      </c>
      <c r="BK26" s="1">
        <v>212170</v>
      </c>
      <c r="BL26" s="1">
        <v>190703</v>
      </c>
      <c r="BM26" s="1">
        <v>76746</v>
      </c>
      <c r="BN26" s="1">
        <v>688979</v>
      </c>
      <c r="BO26" s="1">
        <v>627330</v>
      </c>
      <c r="BP26" s="1">
        <v>2170357</v>
      </c>
      <c r="BQ26" s="1">
        <v>2882</v>
      </c>
      <c r="BR26" s="1">
        <v>1537460</v>
      </c>
      <c r="BS26" s="1">
        <v>40208</v>
      </c>
      <c r="BT26" s="1">
        <v>589807</v>
      </c>
      <c r="BU26" s="1">
        <v>460698</v>
      </c>
      <c r="BV26" s="1">
        <v>838367</v>
      </c>
      <c r="BW26" s="1">
        <v>127965</v>
      </c>
      <c r="BX26" s="1">
        <v>12914</v>
      </c>
      <c r="BY26" s="1">
        <v>46348</v>
      </c>
      <c r="BZ26" s="1">
        <v>208114</v>
      </c>
      <c r="CA26" s="1">
        <v>19939</v>
      </c>
      <c r="CB26" s="1">
        <v>45257</v>
      </c>
      <c r="CC26" s="2">
        <v>1.88</v>
      </c>
      <c r="CD26" s="1">
        <v>636678</v>
      </c>
      <c r="CE26" s="1">
        <v>397149</v>
      </c>
      <c r="CF26" s="1">
        <v>135689</v>
      </c>
      <c r="CG26" s="1">
        <v>81297</v>
      </c>
      <c r="CH26" s="1">
        <v>28619</v>
      </c>
      <c r="CI26" s="1">
        <v>10690</v>
      </c>
      <c r="CJ26" s="1">
        <v>8944</v>
      </c>
      <c r="CK26" s="2">
        <v>44.91</v>
      </c>
      <c r="CL26" s="1">
        <v>45234</v>
      </c>
      <c r="CM26" s="1">
        <v>329150</v>
      </c>
      <c r="CN26" s="1">
        <v>257495</v>
      </c>
      <c r="CO26" s="1">
        <v>193141</v>
      </c>
      <c r="CP26" s="1">
        <v>191398</v>
      </c>
      <c r="CQ26" s="1">
        <v>155370</v>
      </c>
      <c r="CR26" s="1">
        <v>85256</v>
      </c>
      <c r="CS26" s="1">
        <v>42020</v>
      </c>
      <c r="CT26" s="1">
        <v>718058</v>
      </c>
      <c r="CU26" s="1">
        <v>429162</v>
      </c>
      <c r="CV26" s="1">
        <v>151845</v>
      </c>
      <c r="CW26" s="1">
        <v>80221</v>
      </c>
      <c r="CX26" s="1">
        <v>94962</v>
      </c>
      <c r="CY26" s="1">
        <v>134809</v>
      </c>
      <c r="CZ26" s="1">
        <v>85908</v>
      </c>
      <c r="DA26" s="1">
        <v>43804</v>
      </c>
      <c r="DB26" s="1">
        <v>39389</v>
      </c>
      <c r="DC26" s="1">
        <v>39366</v>
      </c>
      <c r="DD26" s="1">
        <v>32545</v>
      </c>
      <c r="DE26" s="1">
        <v>33192</v>
      </c>
      <c r="DF26" s="1">
        <v>32859</v>
      </c>
      <c r="DG26" s="1">
        <v>33384</v>
      </c>
      <c r="DH26" s="1">
        <v>30759</v>
      </c>
      <c r="DI26" s="1">
        <v>64232</v>
      </c>
      <c r="DJ26" s="1">
        <v>95831</v>
      </c>
      <c r="DK26" s="1">
        <v>148106</v>
      </c>
      <c r="DL26" s="1">
        <v>105228</v>
      </c>
      <c r="DM26" s="1">
        <v>102418</v>
      </c>
      <c r="DN26" s="1">
        <v>141421</v>
      </c>
      <c r="DO26" s="1">
        <v>270624</v>
      </c>
      <c r="DP26" s="1">
        <v>38424</v>
      </c>
      <c r="DQ26" s="1">
        <v>94708</v>
      </c>
      <c r="DR26" s="1">
        <v>112314</v>
      </c>
      <c r="DS26" s="1">
        <v>115713</v>
      </c>
      <c r="DT26" s="1">
        <v>104035</v>
      </c>
      <c r="DU26" s="1">
        <v>82719</v>
      </c>
      <c r="DV26" s="1">
        <v>66973</v>
      </c>
      <c r="DW26" s="2">
        <v>96770.02</v>
      </c>
      <c r="DX26" s="2">
        <v>44640.160000000003</v>
      </c>
      <c r="DY26" s="2">
        <v>3424.91</v>
      </c>
      <c r="DZ26" s="2">
        <v>717.89</v>
      </c>
      <c r="EA26" s="2">
        <v>3529.91</v>
      </c>
      <c r="EB26" s="2">
        <v>3538.26</v>
      </c>
      <c r="EC26" s="2">
        <v>5588.8</v>
      </c>
      <c r="ED26" s="2">
        <v>13969.02</v>
      </c>
      <c r="EE26" s="2">
        <v>7726.48</v>
      </c>
      <c r="EF26" s="2">
        <v>3461.27</v>
      </c>
      <c r="EG26" s="2">
        <v>20887.919999999998</v>
      </c>
      <c r="EH26" s="2">
        <v>3890.35</v>
      </c>
      <c r="EI26" s="2">
        <v>1865.51</v>
      </c>
      <c r="EJ26" s="2">
        <v>1301.6600000000001</v>
      </c>
      <c r="EK26" s="2">
        <v>215.03</v>
      </c>
      <c r="EL26" s="2">
        <v>501.97</v>
      </c>
      <c r="EM26" s="2">
        <v>16813.560000000001</v>
      </c>
      <c r="EN26" s="2">
        <v>6596.77</v>
      </c>
      <c r="EO26" s="2">
        <v>2740.71</v>
      </c>
      <c r="EP26" s="1">
        <v>98010</v>
      </c>
      <c r="EQ26" s="1">
        <v>10578</v>
      </c>
      <c r="ER26" s="1">
        <v>2383</v>
      </c>
      <c r="ES26" s="1">
        <v>28669</v>
      </c>
      <c r="ET26" s="1">
        <v>134348</v>
      </c>
      <c r="EU26" s="1">
        <v>206958</v>
      </c>
      <c r="EV26" s="1">
        <v>287609</v>
      </c>
      <c r="EW26" s="1">
        <v>14729</v>
      </c>
      <c r="EX26" s="1">
        <v>57866</v>
      </c>
      <c r="EY26" s="1">
        <v>6801</v>
      </c>
      <c r="EZ26" s="1">
        <v>844886</v>
      </c>
      <c r="FA26" s="1">
        <v>26715</v>
      </c>
      <c r="FB26" s="1">
        <v>502853</v>
      </c>
      <c r="FC26" s="1">
        <v>121511</v>
      </c>
      <c r="FD26" s="1">
        <v>34513</v>
      </c>
      <c r="FE26" s="1">
        <v>300057</v>
      </c>
      <c r="FF26" s="1">
        <v>10301</v>
      </c>
      <c r="FG26" s="1">
        <v>888035</v>
      </c>
      <c r="FH26" s="1">
        <v>225268</v>
      </c>
      <c r="FI26" s="1">
        <v>16539</v>
      </c>
      <c r="FJ26" s="1">
        <v>1969</v>
      </c>
      <c r="FK26" s="1">
        <v>3273</v>
      </c>
      <c r="FL26" s="1">
        <v>22351</v>
      </c>
      <c r="FM26" s="1">
        <v>2818</v>
      </c>
      <c r="FN26" s="1">
        <v>166556</v>
      </c>
      <c r="FO26" s="1">
        <v>1566567</v>
      </c>
      <c r="FP26" s="1">
        <v>123</v>
      </c>
      <c r="FQ26" s="1">
        <v>119</v>
      </c>
      <c r="FR26" s="1">
        <v>57</v>
      </c>
      <c r="FS26" s="1">
        <v>99</v>
      </c>
      <c r="FT26" s="1">
        <v>170</v>
      </c>
      <c r="FU26" s="1">
        <v>101</v>
      </c>
      <c r="FV26" s="1">
        <v>124</v>
      </c>
      <c r="FW26" s="1">
        <v>46</v>
      </c>
      <c r="FX26" s="1">
        <v>153</v>
      </c>
      <c r="FY26" s="1">
        <v>64</v>
      </c>
      <c r="FZ26" s="3">
        <v>2.5939999999999999</v>
      </c>
      <c r="GA26" s="3">
        <v>-2.2189999999999999</v>
      </c>
      <c r="GB26" s="3">
        <v>-0.46500000000000002</v>
      </c>
      <c r="GC26" s="3">
        <v>0.23899999999999999</v>
      </c>
      <c r="GD26" s="3">
        <v>-0.98799999999999999</v>
      </c>
      <c r="GE26" s="3">
        <v>0.82899999999999996</v>
      </c>
      <c r="GF26" s="3">
        <v>0.32800000000000001</v>
      </c>
      <c r="GG26" s="3">
        <v>-9.0999999999999998E-2</v>
      </c>
      <c r="GH26" s="3">
        <v>-1.1220000000000001</v>
      </c>
      <c r="GI26" s="3">
        <v>-2.8000000000000001E-2</v>
      </c>
      <c r="GJ26" s="3">
        <v>-0.41599999999999998</v>
      </c>
      <c r="GK26" s="3">
        <v>-7.0000000000000007E-2</v>
      </c>
      <c r="GL26" s="3">
        <v>-0.122</v>
      </c>
      <c r="GM26" s="3">
        <v>0.27900000000000003</v>
      </c>
      <c r="GN26" s="3">
        <v>2.899</v>
      </c>
      <c r="GO26" s="3">
        <v>5.0999999999999997E-2</v>
      </c>
      <c r="GP26" s="3">
        <v>0.36899999999999999</v>
      </c>
      <c r="GQ26" s="3">
        <v>-4.4999999999999998E-2</v>
      </c>
      <c r="GR26" s="3">
        <v>5.1999999999999998E-2</v>
      </c>
      <c r="GS26" s="3">
        <v>0.78900000000000003</v>
      </c>
      <c r="GT26" s="3">
        <v>-0.16300000000000001</v>
      </c>
      <c r="GU26" s="3">
        <v>-0.114</v>
      </c>
      <c r="GV26" s="3">
        <v>0.23599999999999999</v>
      </c>
      <c r="GW26" s="3">
        <v>0.72399999999999998</v>
      </c>
      <c r="GX26" s="3">
        <v>-0.24399999999999999</v>
      </c>
      <c r="GY26" s="3">
        <v>-8.9999999999999993E-3</v>
      </c>
      <c r="GZ26" s="4">
        <v>117</v>
      </c>
      <c r="HA26" s="4">
        <v>106</v>
      </c>
      <c r="HB26" s="4">
        <v>150</v>
      </c>
      <c r="HC26" s="4">
        <v>72</v>
      </c>
      <c r="HD26" s="4">
        <v>194</v>
      </c>
      <c r="HE26" s="4">
        <v>92</v>
      </c>
      <c r="HF26" s="1">
        <v>1363</v>
      </c>
      <c r="HG26" s="1">
        <v>908</v>
      </c>
      <c r="HH26" s="1">
        <v>1053</v>
      </c>
      <c r="HI26" s="1">
        <v>1107</v>
      </c>
      <c r="HJ26" s="1">
        <v>840</v>
      </c>
      <c r="HK26" s="1">
        <v>876</v>
      </c>
      <c r="HL26" s="1">
        <v>842</v>
      </c>
      <c r="HM26" s="1">
        <v>1661</v>
      </c>
      <c r="HN26" s="1">
        <v>2006</v>
      </c>
      <c r="HO26" s="1">
        <v>2456</v>
      </c>
      <c r="HP26" s="1">
        <v>2804</v>
      </c>
      <c r="HQ26" s="1">
        <v>3093</v>
      </c>
      <c r="HR26" s="1">
        <v>3025</v>
      </c>
      <c r="HS26" s="1">
        <v>8505</v>
      </c>
      <c r="HT26" s="1">
        <v>6484</v>
      </c>
      <c r="HU26" s="1">
        <v>9475</v>
      </c>
      <c r="HV26" s="1">
        <v>7654</v>
      </c>
      <c r="HW26" s="1">
        <v>19556</v>
      </c>
      <c r="HX26" s="1">
        <v>18746</v>
      </c>
      <c r="HY26" s="1">
        <v>40134</v>
      </c>
      <c r="HZ26" s="1">
        <v>33001</v>
      </c>
      <c r="IA26" s="1">
        <v>63485</v>
      </c>
      <c r="IB26" s="1">
        <v>37546</v>
      </c>
      <c r="IC26" s="1">
        <v>82874</v>
      </c>
      <c r="ID26" s="1">
        <v>536063</v>
      </c>
      <c r="IE26" s="1">
        <v>3472</v>
      </c>
      <c r="IF26" s="1">
        <v>4427</v>
      </c>
      <c r="IG26" s="1">
        <v>9080</v>
      </c>
      <c r="IH26" s="1">
        <v>13148</v>
      </c>
      <c r="II26" s="1">
        <v>7687</v>
      </c>
      <c r="IJ26" s="1">
        <v>8249</v>
      </c>
      <c r="IK26" s="1">
        <v>8273</v>
      </c>
      <c r="IL26" s="1">
        <v>10521</v>
      </c>
      <c r="IM26" s="1">
        <v>10823</v>
      </c>
      <c r="IN26" s="1">
        <v>16614</v>
      </c>
      <c r="IO26" s="1">
        <v>15420</v>
      </c>
      <c r="IP26" s="1">
        <v>21125</v>
      </c>
      <c r="IQ26" s="1">
        <v>19718</v>
      </c>
      <c r="IR26" s="1">
        <v>22403</v>
      </c>
      <c r="IS26" s="1">
        <v>18922</v>
      </c>
      <c r="IT26" s="1">
        <v>45850</v>
      </c>
      <c r="IU26" s="1">
        <v>44883</v>
      </c>
      <c r="IV26" s="1">
        <v>111895</v>
      </c>
      <c r="IW26">
        <v>83609</v>
      </c>
      <c r="IX26">
        <v>158280</v>
      </c>
      <c r="IY26">
        <v>170958</v>
      </c>
      <c r="IZ26">
        <v>16872</v>
      </c>
      <c r="JA26">
        <v>1376</v>
      </c>
      <c r="JB26">
        <v>47367</v>
      </c>
      <c r="JC26">
        <v>37627</v>
      </c>
      <c r="JD26">
        <v>24246</v>
      </c>
      <c r="JE26">
        <v>24171</v>
      </c>
      <c r="JF26">
        <v>19490</v>
      </c>
      <c r="JG26">
        <v>15018</v>
      </c>
      <c r="JH26">
        <v>37316</v>
      </c>
      <c r="JI26">
        <v>117705</v>
      </c>
      <c r="JJ26">
        <v>1062</v>
      </c>
      <c r="JK26">
        <v>122</v>
      </c>
      <c r="JL26">
        <v>21827</v>
      </c>
      <c r="JM26">
        <v>17133</v>
      </c>
      <c r="JN26">
        <v>45245</v>
      </c>
      <c r="JO26">
        <v>79509</v>
      </c>
      <c r="JP26">
        <v>98566</v>
      </c>
      <c r="JQ26">
        <v>101790</v>
      </c>
      <c r="JR26">
        <v>136699</v>
      </c>
      <c r="JS26">
        <v>254625</v>
      </c>
      <c r="JT26">
        <v>1437</v>
      </c>
      <c r="JU26">
        <v>697</v>
      </c>
      <c r="JV26">
        <v>35230</v>
      </c>
      <c r="JW26">
        <v>33620</v>
      </c>
      <c r="JX26">
        <v>48901</v>
      </c>
      <c r="JY26">
        <v>69646</v>
      </c>
      <c r="JZ26">
        <v>99910</v>
      </c>
      <c r="KA26">
        <v>125018</v>
      </c>
      <c r="KB26">
        <v>112491</v>
      </c>
      <c r="KC26">
        <v>82636</v>
      </c>
      <c r="KD26">
        <v>474200</v>
      </c>
      <c r="KE26">
        <v>1688</v>
      </c>
      <c r="KF26">
        <v>293</v>
      </c>
      <c r="KG26">
        <v>28744</v>
      </c>
      <c r="KH26">
        <v>50957</v>
      </c>
      <c r="KI26">
        <v>30059</v>
      </c>
      <c r="KJ26">
        <v>88563</v>
      </c>
      <c r="KK26">
        <v>24732</v>
      </c>
      <c r="KL26">
        <v>3580</v>
      </c>
      <c r="KM26">
        <v>79078</v>
      </c>
      <c r="KN26">
        <v>134748</v>
      </c>
      <c r="KO26">
        <v>36563</v>
      </c>
      <c r="KP26">
        <v>231686</v>
      </c>
      <c r="KQ26">
        <v>1398</v>
      </c>
      <c r="KR26">
        <v>35563</v>
      </c>
      <c r="KS26">
        <v>127919</v>
      </c>
      <c r="KT26">
        <v>140624</v>
      </c>
      <c r="KU26">
        <v>53658</v>
      </c>
      <c r="KV26">
        <v>75227</v>
      </c>
      <c r="KW26">
        <v>55360</v>
      </c>
      <c r="KX26">
        <v>50583</v>
      </c>
      <c r="KY26">
        <v>792195</v>
      </c>
      <c r="KZ26">
        <v>61963</v>
      </c>
      <c r="LA26">
        <v>160431</v>
      </c>
      <c r="LB26">
        <v>66499</v>
      </c>
      <c r="LC26">
        <v>27264</v>
      </c>
      <c r="LD26">
        <v>33844</v>
      </c>
      <c r="LE26">
        <v>107978</v>
      </c>
      <c r="LF26">
        <v>849</v>
      </c>
      <c r="LG26">
        <v>757054</v>
      </c>
      <c r="LH26">
        <v>22148</v>
      </c>
      <c r="LI26">
        <v>85433</v>
      </c>
      <c r="LJ26">
        <v>19888</v>
      </c>
      <c r="LK26">
        <v>103040</v>
      </c>
      <c r="LL26">
        <v>22628</v>
      </c>
      <c r="LM26">
        <v>52662</v>
      </c>
      <c r="LN26">
        <v>2526</v>
      </c>
      <c r="LO26">
        <v>16273</v>
      </c>
      <c r="LP26">
        <v>61.250689999999999</v>
      </c>
      <c r="LQ26">
        <v>35858.875169999999</v>
      </c>
    </row>
    <row r="27" spans="1:329" x14ac:dyDescent="0.25">
      <c r="A27" s="5" t="s">
        <v>349</v>
      </c>
      <c r="B27" s="5" t="s">
        <v>282</v>
      </c>
      <c r="C27" s="1">
        <v>3367079</v>
      </c>
      <c r="D27" s="1">
        <v>3691772</v>
      </c>
      <c r="E27" s="1">
        <v>3745865</v>
      </c>
      <c r="F27" s="1">
        <v>3901927</v>
      </c>
      <c r="G27" s="1">
        <v>3954721</v>
      </c>
      <c r="H27" s="1">
        <v>1234065</v>
      </c>
      <c r="I27" s="1">
        <v>1314569</v>
      </c>
      <c r="J27" s="1">
        <v>1320221</v>
      </c>
      <c r="K27" s="1">
        <v>1396588</v>
      </c>
      <c r="L27" s="1">
        <v>1437531</v>
      </c>
      <c r="M27" s="1">
        <v>1447611</v>
      </c>
      <c r="N27" s="1">
        <v>732796</v>
      </c>
      <c r="O27" s="1">
        <v>663791</v>
      </c>
      <c r="P27" s="1">
        <v>51024</v>
      </c>
      <c r="Q27" s="1">
        <v>98756</v>
      </c>
      <c r="R27" s="1">
        <v>5201</v>
      </c>
      <c r="S27" s="1">
        <v>34</v>
      </c>
      <c r="T27" s="1">
        <v>3291799</v>
      </c>
      <c r="U27" s="1">
        <v>574021</v>
      </c>
      <c r="V27" s="1">
        <v>36107</v>
      </c>
      <c r="W27" s="1">
        <v>1961</v>
      </c>
      <c r="X27" s="1">
        <v>3</v>
      </c>
      <c r="Y27" s="2">
        <v>36.61</v>
      </c>
      <c r="Z27" s="1">
        <v>241792</v>
      </c>
      <c r="AA27" s="1">
        <v>232798</v>
      </c>
      <c r="AB27" s="1">
        <v>232024</v>
      </c>
      <c r="AC27" s="1">
        <v>228055</v>
      </c>
      <c r="AD27" s="1">
        <v>252943</v>
      </c>
      <c r="AE27" s="1">
        <v>311550</v>
      </c>
      <c r="AF27" s="1">
        <v>303830</v>
      </c>
      <c r="AG27" s="1">
        <v>283397</v>
      </c>
      <c r="AH27" s="1">
        <v>250940</v>
      </c>
      <c r="AI27" s="1">
        <v>255874</v>
      </c>
      <c r="AJ27" s="1">
        <v>257474</v>
      </c>
      <c r="AK27" s="1">
        <v>262700</v>
      </c>
      <c r="AL27" s="1">
        <v>230504</v>
      </c>
      <c r="AM27" s="1">
        <v>181544</v>
      </c>
      <c r="AN27" s="1">
        <v>138158</v>
      </c>
      <c r="AO27" s="1">
        <v>96188</v>
      </c>
      <c r="AP27" s="1">
        <v>66124</v>
      </c>
      <c r="AQ27" s="1">
        <v>76032</v>
      </c>
      <c r="AR27" s="1">
        <v>1899296</v>
      </c>
      <c r="AS27" s="1">
        <v>2002631</v>
      </c>
      <c r="AT27" s="1">
        <v>1466557</v>
      </c>
      <c r="AU27" s="1">
        <v>790718</v>
      </c>
      <c r="AV27" s="1">
        <v>7517</v>
      </c>
      <c r="AW27" s="1">
        <v>544454</v>
      </c>
      <c r="AX27" s="1">
        <v>3308</v>
      </c>
      <c r="AY27" s="1">
        <v>28959</v>
      </c>
      <c r="AZ27" s="1">
        <v>83910</v>
      </c>
      <c r="BA27" s="1">
        <v>976736</v>
      </c>
      <c r="BB27" s="1">
        <v>3195314</v>
      </c>
      <c r="BC27" s="1">
        <v>1247933</v>
      </c>
      <c r="BD27" s="1">
        <v>1265741</v>
      </c>
      <c r="BE27" s="1">
        <v>211083</v>
      </c>
      <c r="BF27" s="1">
        <v>181091</v>
      </c>
      <c r="BG27" s="1">
        <v>289466</v>
      </c>
      <c r="BH27" s="1">
        <v>2714316</v>
      </c>
      <c r="BI27" s="1">
        <v>224151</v>
      </c>
      <c r="BJ27" s="1">
        <v>202356</v>
      </c>
      <c r="BK27" s="1">
        <v>782978</v>
      </c>
      <c r="BL27" s="1">
        <v>486462</v>
      </c>
      <c r="BM27" s="1">
        <v>203257</v>
      </c>
      <c r="BN27" s="1">
        <v>525358</v>
      </c>
      <c r="BO27" s="1">
        <v>289754</v>
      </c>
      <c r="BP27" s="1">
        <v>3152400</v>
      </c>
      <c r="BQ27" s="1">
        <v>2537</v>
      </c>
      <c r="BR27" s="1">
        <v>2005779</v>
      </c>
      <c r="BS27" s="1">
        <v>82155</v>
      </c>
      <c r="BT27" s="1">
        <v>1061929</v>
      </c>
      <c r="BU27" s="1">
        <v>949985</v>
      </c>
      <c r="BV27" s="1">
        <v>446603</v>
      </c>
      <c r="BW27" s="1">
        <v>293489</v>
      </c>
      <c r="BX27" s="1">
        <v>41036</v>
      </c>
      <c r="BY27" s="1">
        <v>139475</v>
      </c>
      <c r="BZ27" s="1">
        <v>324278</v>
      </c>
      <c r="CA27" s="1">
        <v>46926</v>
      </c>
      <c r="CB27" s="1">
        <v>104605</v>
      </c>
      <c r="CC27" s="2">
        <v>2.77</v>
      </c>
      <c r="CD27" s="1">
        <v>355024</v>
      </c>
      <c r="CE27" s="1">
        <v>384651</v>
      </c>
      <c r="CF27" s="1">
        <v>246711</v>
      </c>
      <c r="CG27" s="1">
        <v>206657</v>
      </c>
      <c r="CH27" s="1">
        <v>108346</v>
      </c>
      <c r="CI27" s="1">
        <v>48970</v>
      </c>
      <c r="CJ27" s="1">
        <v>46229</v>
      </c>
      <c r="CK27" s="2">
        <v>50.26</v>
      </c>
      <c r="CL27" s="1">
        <v>40069</v>
      </c>
      <c r="CM27" s="1">
        <v>229444</v>
      </c>
      <c r="CN27" s="1">
        <v>259607</v>
      </c>
      <c r="CO27" s="1">
        <v>270132</v>
      </c>
      <c r="CP27" s="1">
        <v>270831</v>
      </c>
      <c r="CQ27" s="1">
        <v>183250</v>
      </c>
      <c r="CR27" s="1">
        <v>97125</v>
      </c>
      <c r="CS27" s="1">
        <v>46130</v>
      </c>
      <c r="CT27" s="1">
        <v>212321</v>
      </c>
      <c r="CU27" s="1">
        <v>558158</v>
      </c>
      <c r="CV27" s="1">
        <v>626107</v>
      </c>
      <c r="CW27" s="1">
        <v>31493</v>
      </c>
      <c r="CX27" s="1">
        <v>68425</v>
      </c>
      <c r="CY27" s="1">
        <v>80815</v>
      </c>
      <c r="CZ27" s="1">
        <v>78400</v>
      </c>
      <c r="DA27" s="1">
        <v>52904</v>
      </c>
      <c r="DB27" s="1">
        <v>55693</v>
      </c>
      <c r="DC27" s="1">
        <v>60250</v>
      </c>
      <c r="DD27" s="1">
        <v>53085</v>
      </c>
      <c r="DE27" s="1">
        <v>53188</v>
      </c>
      <c r="DF27" s="1">
        <v>54325</v>
      </c>
      <c r="DG27" s="1">
        <v>55914</v>
      </c>
      <c r="DH27" s="1">
        <v>52200</v>
      </c>
      <c r="DI27" s="1">
        <v>102527</v>
      </c>
      <c r="DJ27" s="1">
        <v>142082</v>
      </c>
      <c r="DK27" s="1">
        <v>202493</v>
      </c>
      <c r="DL27" s="1">
        <v>121899</v>
      </c>
      <c r="DM27" s="1">
        <v>104532</v>
      </c>
      <c r="DN27" s="1">
        <v>118269</v>
      </c>
      <c r="DO27" s="1">
        <v>88827</v>
      </c>
      <c r="DP27" s="1">
        <v>39925</v>
      </c>
      <c r="DQ27" s="1">
        <v>65872</v>
      </c>
      <c r="DR27" s="1">
        <v>78418</v>
      </c>
      <c r="DS27" s="1">
        <v>80748</v>
      </c>
      <c r="DT27" s="1">
        <v>73302</v>
      </c>
      <c r="DU27" s="1">
        <v>60949</v>
      </c>
      <c r="DV27" s="1">
        <v>46560</v>
      </c>
      <c r="DW27" s="2">
        <v>64176.66</v>
      </c>
      <c r="DX27" s="2">
        <v>30257.69</v>
      </c>
      <c r="DY27" s="2">
        <v>2060.61</v>
      </c>
      <c r="DZ27" s="2">
        <v>448.13</v>
      </c>
      <c r="EA27" s="2">
        <v>2285.5300000000002</v>
      </c>
      <c r="EB27" s="2">
        <v>1951.91</v>
      </c>
      <c r="EC27" s="2">
        <v>3620.45</v>
      </c>
      <c r="ED27" s="2">
        <v>9501.7999999999993</v>
      </c>
      <c r="EE27" s="2">
        <v>5384.21</v>
      </c>
      <c r="EF27" s="2">
        <v>2250.2199999999998</v>
      </c>
      <c r="EG27" s="2">
        <v>13596.06</v>
      </c>
      <c r="EH27" s="2">
        <v>2511.6799999999998</v>
      </c>
      <c r="EI27" s="2">
        <v>1212.17</v>
      </c>
      <c r="EJ27" s="2">
        <v>863.47</v>
      </c>
      <c r="EK27" s="2">
        <v>138.81</v>
      </c>
      <c r="EL27" s="2">
        <v>391.31</v>
      </c>
      <c r="EM27" s="2">
        <v>11661.97</v>
      </c>
      <c r="EN27" s="2">
        <v>4741.88</v>
      </c>
      <c r="EO27" s="2">
        <v>1556.45</v>
      </c>
      <c r="EP27" s="1">
        <v>52962</v>
      </c>
      <c r="EQ27" s="1">
        <v>6433</v>
      </c>
      <c r="ER27" s="1">
        <v>1559</v>
      </c>
      <c r="ES27" s="1">
        <v>12294</v>
      </c>
      <c r="ET27" s="1">
        <v>58155</v>
      </c>
      <c r="EU27" s="1">
        <v>91601</v>
      </c>
      <c r="EV27" s="1">
        <v>159914</v>
      </c>
      <c r="EW27" s="1">
        <v>8619</v>
      </c>
      <c r="EX27" s="1">
        <v>29172</v>
      </c>
      <c r="EY27" s="1">
        <v>3497</v>
      </c>
      <c r="EZ27" s="1">
        <v>421910</v>
      </c>
      <c r="FA27" s="1">
        <v>20966</v>
      </c>
      <c r="FB27" s="1">
        <v>298243</v>
      </c>
      <c r="FC27" s="1">
        <v>61513</v>
      </c>
      <c r="FD27" s="1">
        <v>17871</v>
      </c>
      <c r="FE27" s="1">
        <v>132571</v>
      </c>
      <c r="FF27" s="1">
        <v>5199</v>
      </c>
      <c r="FG27" s="1">
        <v>479912</v>
      </c>
      <c r="FH27" s="1">
        <v>128104</v>
      </c>
      <c r="FI27" s="1">
        <v>14619</v>
      </c>
      <c r="FJ27" s="1">
        <v>834</v>
      </c>
      <c r="FK27" s="1">
        <v>2862</v>
      </c>
      <c r="FL27" s="1">
        <v>11407</v>
      </c>
      <c r="FM27" s="1">
        <v>1516</v>
      </c>
      <c r="FN27" s="1">
        <v>114247</v>
      </c>
      <c r="FO27" s="1">
        <v>788985</v>
      </c>
      <c r="FP27" s="1">
        <v>81</v>
      </c>
      <c r="FQ27" s="1">
        <v>115</v>
      </c>
      <c r="FR27" s="1">
        <v>96</v>
      </c>
      <c r="FS27" s="1">
        <v>68</v>
      </c>
      <c r="FT27" s="1">
        <v>152</v>
      </c>
      <c r="FU27" s="1">
        <v>106</v>
      </c>
      <c r="FV27" s="1">
        <v>76</v>
      </c>
      <c r="FW27" s="1">
        <v>73</v>
      </c>
      <c r="FX27" s="1">
        <v>72</v>
      </c>
      <c r="FY27" s="1">
        <v>111</v>
      </c>
      <c r="FZ27" s="3">
        <v>-8.1000000000000003E-2</v>
      </c>
      <c r="GA27" s="3">
        <v>-0.183</v>
      </c>
      <c r="GB27" s="3">
        <v>1E-3</v>
      </c>
      <c r="GC27" s="3">
        <v>0.41499999999999998</v>
      </c>
      <c r="GD27" s="3">
        <v>0.67900000000000005</v>
      </c>
      <c r="GE27" s="3">
        <v>-0.26900000000000002</v>
      </c>
      <c r="GF27" s="3">
        <v>0.95499999999999996</v>
      </c>
      <c r="GG27" s="3">
        <v>-6.3E-2</v>
      </c>
      <c r="GH27" s="3">
        <v>-0.71099999999999997</v>
      </c>
      <c r="GI27" s="3">
        <v>-0.107</v>
      </c>
      <c r="GJ27" s="3">
        <v>1.268</v>
      </c>
      <c r="GK27" s="3">
        <v>-0.11700000000000001</v>
      </c>
      <c r="GL27" s="3">
        <v>-0.222</v>
      </c>
      <c r="GM27" s="3">
        <v>-0.433</v>
      </c>
      <c r="GN27" s="3">
        <v>0.68400000000000005</v>
      </c>
      <c r="GO27" s="3">
        <v>-0.1</v>
      </c>
      <c r="GP27" s="3">
        <v>-0.57599999999999996</v>
      </c>
      <c r="GQ27" s="3">
        <v>3.3000000000000002E-2</v>
      </c>
      <c r="GR27" s="3">
        <v>0.214</v>
      </c>
      <c r="GS27" s="3">
        <v>-0.27100000000000002</v>
      </c>
      <c r="GT27" s="3">
        <v>-9.9000000000000005E-2</v>
      </c>
      <c r="GU27" s="3">
        <v>0.32200000000000001</v>
      </c>
      <c r="GV27" s="3">
        <v>-4.9000000000000002E-2</v>
      </c>
      <c r="GW27" s="3">
        <v>-0.126</v>
      </c>
      <c r="GX27" s="3">
        <v>0.21299999999999999</v>
      </c>
      <c r="GY27" s="3">
        <v>-2.1999999999999999E-2</v>
      </c>
      <c r="GZ27" s="4">
        <v>109</v>
      </c>
      <c r="HA27" s="4">
        <v>97</v>
      </c>
      <c r="HB27" s="4">
        <v>132</v>
      </c>
      <c r="HC27" s="4">
        <v>91</v>
      </c>
      <c r="HD27" s="4">
        <v>167</v>
      </c>
      <c r="HE27" s="4">
        <v>89</v>
      </c>
      <c r="HF27" s="1">
        <v>2233</v>
      </c>
      <c r="HG27" s="1">
        <v>1554</v>
      </c>
      <c r="HH27" s="1">
        <v>1558</v>
      </c>
      <c r="HI27" s="1">
        <v>2082</v>
      </c>
      <c r="HJ27" s="1">
        <v>1792</v>
      </c>
      <c r="HK27" s="1">
        <v>2189</v>
      </c>
      <c r="HL27" s="1">
        <v>1659</v>
      </c>
      <c r="HM27" s="1">
        <v>3855</v>
      </c>
      <c r="HN27" s="1">
        <v>4040</v>
      </c>
      <c r="HO27" s="1">
        <v>4208</v>
      </c>
      <c r="HP27" s="1">
        <v>5031</v>
      </c>
      <c r="HQ27" s="1">
        <v>6354</v>
      </c>
      <c r="HR27" s="1">
        <v>6262</v>
      </c>
      <c r="HS27" s="1">
        <v>19055</v>
      </c>
      <c r="HT27" s="1">
        <v>17805</v>
      </c>
      <c r="HU27" s="1">
        <v>30610</v>
      </c>
      <c r="HV27" s="1">
        <v>26368</v>
      </c>
      <c r="HW27" s="1">
        <v>69255</v>
      </c>
      <c r="HX27" s="1">
        <v>73021</v>
      </c>
      <c r="HY27" s="1">
        <v>171836</v>
      </c>
      <c r="HZ27" s="1">
        <v>120484</v>
      </c>
      <c r="IA27" s="1">
        <v>98576</v>
      </c>
      <c r="IB27" s="1">
        <v>19019</v>
      </c>
      <c r="IC27" s="1">
        <v>11403</v>
      </c>
      <c r="ID27" s="1">
        <v>341430</v>
      </c>
      <c r="IE27" s="1">
        <v>3330</v>
      </c>
      <c r="IF27" s="1">
        <v>3569</v>
      </c>
      <c r="IG27" s="1">
        <v>5875</v>
      </c>
      <c r="IH27" s="1">
        <v>9133</v>
      </c>
      <c r="II27" s="1">
        <v>5048</v>
      </c>
      <c r="IJ27" s="1">
        <v>6308</v>
      </c>
      <c r="IK27" s="1">
        <v>5928</v>
      </c>
      <c r="IL27" s="1">
        <v>9650</v>
      </c>
      <c r="IM27" s="1">
        <v>7755</v>
      </c>
      <c r="IN27" s="1">
        <v>15940</v>
      </c>
      <c r="IO27" s="1">
        <v>12933</v>
      </c>
      <c r="IP27" s="1">
        <v>22882</v>
      </c>
      <c r="IQ27" s="1">
        <v>22968</v>
      </c>
      <c r="IR27" s="1">
        <v>28893</v>
      </c>
      <c r="IS27" s="1">
        <v>28436</v>
      </c>
      <c r="IT27" s="1">
        <v>70939</v>
      </c>
      <c r="IU27" s="1">
        <v>66365</v>
      </c>
      <c r="IV27" s="1">
        <v>134026</v>
      </c>
      <c r="IW27">
        <v>87801</v>
      </c>
      <c r="IX27">
        <v>72644</v>
      </c>
      <c r="IY27">
        <v>18455</v>
      </c>
      <c r="IZ27">
        <v>24231</v>
      </c>
      <c r="JA27">
        <v>966</v>
      </c>
      <c r="JB27">
        <v>530126</v>
      </c>
      <c r="JC27">
        <v>126787</v>
      </c>
      <c r="JD27">
        <v>125346</v>
      </c>
      <c r="JE27">
        <v>37172</v>
      </c>
      <c r="JF27">
        <v>14283</v>
      </c>
      <c r="JG27">
        <v>11950</v>
      </c>
      <c r="JH27">
        <v>14107</v>
      </c>
      <c r="JI27">
        <v>12227</v>
      </c>
      <c r="JJ27">
        <v>3648</v>
      </c>
      <c r="JK27">
        <v>109</v>
      </c>
      <c r="JL27">
        <v>88940</v>
      </c>
      <c r="JM27">
        <v>45787</v>
      </c>
      <c r="JN27">
        <v>194487</v>
      </c>
      <c r="JO27">
        <v>172876</v>
      </c>
      <c r="JP27">
        <v>93294</v>
      </c>
      <c r="JQ27">
        <v>64893</v>
      </c>
      <c r="JR27">
        <v>63258</v>
      </c>
      <c r="JS27">
        <v>50209</v>
      </c>
      <c r="JT27">
        <v>1866</v>
      </c>
      <c r="JU27">
        <v>208</v>
      </c>
      <c r="JV27">
        <v>44847</v>
      </c>
      <c r="JW27">
        <v>47923</v>
      </c>
      <c r="JX27">
        <v>81413</v>
      </c>
      <c r="JY27">
        <v>112242</v>
      </c>
      <c r="JZ27">
        <v>159193</v>
      </c>
      <c r="KA27">
        <v>195932</v>
      </c>
      <c r="KB27">
        <v>295031</v>
      </c>
      <c r="KC27">
        <v>189548</v>
      </c>
      <c r="KD27">
        <v>525444</v>
      </c>
      <c r="KE27">
        <v>4561</v>
      </c>
      <c r="KF27">
        <v>585</v>
      </c>
      <c r="KG27">
        <v>139784</v>
      </c>
      <c r="KH27">
        <v>171145</v>
      </c>
      <c r="KI27">
        <v>59824</v>
      </c>
      <c r="KJ27">
        <v>247562</v>
      </c>
      <c r="KK27">
        <v>132878</v>
      </c>
      <c r="KL27">
        <v>12783</v>
      </c>
      <c r="KM27">
        <v>55375</v>
      </c>
      <c r="KN27">
        <v>122287</v>
      </c>
      <c r="KO27">
        <v>46524</v>
      </c>
      <c r="KP27">
        <v>128013</v>
      </c>
      <c r="KQ27">
        <v>1576</v>
      </c>
      <c r="KR27">
        <v>106678</v>
      </c>
      <c r="KS27">
        <v>192426</v>
      </c>
      <c r="KT27">
        <v>363712</v>
      </c>
      <c r="KU27">
        <v>39023</v>
      </c>
      <c r="KV27">
        <v>161330</v>
      </c>
      <c r="KW27">
        <v>133040</v>
      </c>
      <c r="KX27">
        <v>102644</v>
      </c>
      <c r="KY27">
        <v>1508645</v>
      </c>
      <c r="KZ27">
        <v>63339</v>
      </c>
      <c r="LA27">
        <v>199251</v>
      </c>
      <c r="LB27">
        <v>207021</v>
      </c>
      <c r="LC27">
        <v>73211</v>
      </c>
      <c r="LD27">
        <v>49870</v>
      </c>
      <c r="LE27">
        <v>118311</v>
      </c>
      <c r="LF27">
        <v>2102</v>
      </c>
      <c r="LG27">
        <v>878449</v>
      </c>
      <c r="LH27">
        <v>62901</v>
      </c>
      <c r="LI27">
        <v>222320</v>
      </c>
      <c r="LJ27">
        <v>87786</v>
      </c>
      <c r="LK27">
        <v>217880</v>
      </c>
      <c r="LL27">
        <v>42679</v>
      </c>
      <c r="LM27">
        <v>93531</v>
      </c>
      <c r="LN27">
        <v>10307</v>
      </c>
      <c r="LO27">
        <v>35720</v>
      </c>
      <c r="LP27">
        <v>515.30646000000002</v>
      </c>
      <c r="LQ27">
        <v>9432.2978700000003</v>
      </c>
    </row>
    <row r="28" spans="1:329" x14ac:dyDescent="0.25">
      <c r="A28" s="5" t="s">
        <v>350</v>
      </c>
      <c r="B28" s="5" t="s">
        <v>283</v>
      </c>
      <c r="C28" s="1">
        <v>2162790</v>
      </c>
      <c r="D28" s="1">
        <v>2502362</v>
      </c>
      <c r="E28" s="1">
        <v>3134457</v>
      </c>
      <c r="F28" s="1">
        <v>3884897</v>
      </c>
      <c r="G28" s="1">
        <v>4005269</v>
      </c>
      <c r="H28" s="1">
        <v>1089164</v>
      </c>
      <c r="I28" s="1">
        <v>1299558</v>
      </c>
      <c r="J28" s="1">
        <v>1686222</v>
      </c>
      <c r="K28" s="1">
        <v>2149801</v>
      </c>
      <c r="L28" s="1">
        <v>2242827</v>
      </c>
      <c r="M28" s="1">
        <v>2250844</v>
      </c>
      <c r="N28" s="1">
        <v>485236</v>
      </c>
      <c r="O28" s="1">
        <v>1664565</v>
      </c>
      <c r="P28" s="1">
        <v>101043</v>
      </c>
      <c r="Q28" s="1">
        <v>236767</v>
      </c>
      <c r="R28" s="1">
        <v>44693</v>
      </c>
      <c r="S28" s="1">
        <v>262</v>
      </c>
      <c r="T28" s="1">
        <v>1903522</v>
      </c>
      <c r="U28" s="1">
        <v>1885234</v>
      </c>
      <c r="V28" s="1">
        <v>96141</v>
      </c>
      <c r="W28" s="1">
        <v>18873</v>
      </c>
      <c r="X28" s="1">
        <v>5075</v>
      </c>
      <c r="Y28" s="2">
        <v>32.96</v>
      </c>
      <c r="Z28" s="1">
        <v>198727</v>
      </c>
      <c r="AA28" s="1">
        <v>142611</v>
      </c>
      <c r="AB28" s="1">
        <v>122614</v>
      </c>
      <c r="AC28" s="1">
        <v>137783</v>
      </c>
      <c r="AD28" s="1">
        <v>342702</v>
      </c>
      <c r="AE28" s="1">
        <v>588478</v>
      </c>
      <c r="AF28" s="1">
        <v>516558</v>
      </c>
      <c r="AG28" s="1">
        <v>361130</v>
      </c>
      <c r="AH28" s="1">
        <v>249671</v>
      </c>
      <c r="AI28" s="1">
        <v>218113</v>
      </c>
      <c r="AJ28" s="1">
        <v>197687</v>
      </c>
      <c r="AK28" s="1">
        <v>199715</v>
      </c>
      <c r="AL28" s="1">
        <v>182446</v>
      </c>
      <c r="AM28" s="1">
        <v>142552</v>
      </c>
      <c r="AN28" s="1">
        <v>105555</v>
      </c>
      <c r="AO28" s="1">
        <v>70127</v>
      </c>
      <c r="AP28" s="1">
        <v>47923</v>
      </c>
      <c r="AQ28" s="1">
        <v>60506</v>
      </c>
      <c r="AR28" s="1">
        <v>1966954</v>
      </c>
      <c r="AS28" s="1">
        <v>1917942</v>
      </c>
      <c r="AT28" s="1">
        <v>2056198</v>
      </c>
      <c r="AU28" s="1">
        <v>417685</v>
      </c>
      <c r="AV28" s="1">
        <v>10528</v>
      </c>
      <c r="AW28" s="1">
        <v>619996</v>
      </c>
      <c r="AX28" s="1">
        <v>5133</v>
      </c>
      <c r="AY28" s="1">
        <v>9218</v>
      </c>
      <c r="AZ28" s="1">
        <v>114286</v>
      </c>
      <c r="BA28" s="1">
        <v>652006</v>
      </c>
      <c r="BB28" s="1">
        <v>3420944</v>
      </c>
      <c r="BC28" s="1">
        <v>1724720</v>
      </c>
      <c r="BD28" s="1">
        <v>1109013</v>
      </c>
      <c r="BE28" s="1">
        <v>157352</v>
      </c>
      <c r="BF28" s="1">
        <v>97569</v>
      </c>
      <c r="BG28" s="1">
        <v>332290</v>
      </c>
      <c r="BH28" s="1">
        <v>2940459</v>
      </c>
      <c r="BI28" s="1">
        <v>75194</v>
      </c>
      <c r="BJ28" s="1">
        <v>80062</v>
      </c>
      <c r="BK28" s="1">
        <v>310585</v>
      </c>
      <c r="BL28" s="1">
        <v>393663</v>
      </c>
      <c r="BM28" s="1">
        <v>155603</v>
      </c>
      <c r="BN28" s="1">
        <v>1067191</v>
      </c>
      <c r="BO28" s="1">
        <v>858161</v>
      </c>
      <c r="BP28" s="1">
        <v>3400871</v>
      </c>
      <c r="BQ28" s="1">
        <v>17493</v>
      </c>
      <c r="BR28" s="1">
        <v>2530755</v>
      </c>
      <c r="BS28" s="1">
        <v>60960</v>
      </c>
      <c r="BT28" s="1">
        <v>791663</v>
      </c>
      <c r="BU28" s="1">
        <v>682105</v>
      </c>
      <c r="BV28" s="1">
        <v>1467696</v>
      </c>
      <c r="BW28" s="1">
        <v>170390</v>
      </c>
      <c r="BX28" s="1">
        <v>24785</v>
      </c>
      <c r="BY28" s="1">
        <v>73638</v>
      </c>
      <c r="BZ28" s="1">
        <v>314421</v>
      </c>
      <c r="CA28" s="1">
        <v>35336</v>
      </c>
      <c r="CB28" s="1">
        <v>63010</v>
      </c>
      <c r="CC28" s="2">
        <v>1.76</v>
      </c>
      <c r="CD28" s="1">
        <v>1134497</v>
      </c>
      <c r="CE28" s="1">
        <v>650390</v>
      </c>
      <c r="CF28" s="1">
        <v>201969</v>
      </c>
      <c r="CG28" s="1">
        <v>105864</v>
      </c>
      <c r="CH28" s="1">
        <v>35754</v>
      </c>
      <c r="CI28" s="1">
        <v>12909</v>
      </c>
      <c r="CJ28" s="1">
        <v>8418</v>
      </c>
      <c r="CK28" s="2">
        <v>42</v>
      </c>
      <c r="CL28" s="1">
        <v>107047</v>
      </c>
      <c r="CM28" s="1">
        <v>629682</v>
      </c>
      <c r="CN28" s="1">
        <v>422537</v>
      </c>
      <c r="CO28" s="1">
        <v>313488</v>
      </c>
      <c r="CP28" s="1">
        <v>307527</v>
      </c>
      <c r="CQ28" s="1">
        <v>211229</v>
      </c>
      <c r="CR28" s="1">
        <v>105146</v>
      </c>
      <c r="CS28" s="1">
        <v>53145</v>
      </c>
      <c r="CT28" s="1">
        <v>367485</v>
      </c>
      <c r="CU28" s="1">
        <v>1085376</v>
      </c>
      <c r="CV28" s="1">
        <v>696941</v>
      </c>
      <c r="CW28" s="1">
        <v>61494</v>
      </c>
      <c r="CX28" s="1">
        <v>82954</v>
      </c>
      <c r="CY28" s="1">
        <v>117463</v>
      </c>
      <c r="CZ28" s="1">
        <v>134721</v>
      </c>
      <c r="DA28" s="1">
        <v>63655</v>
      </c>
      <c r="DB28" s="1">
        <v>56653</v>
      </c>
      <c r="DC28" s="1">
        <v>64845</v>
      </c>
      <c r="DD28" s="1">
        <v>58542</v>
      </c>
      <c r="DE28" s="1">
        <v>61804</v>
      </c>
      <c r="DF28" s="1">
        <v>61569</v>
      </c>
      <c r="DG28" s="1">
        <v>66525</v>
      </c>
      <c r="DH28" s="1">
        <v>66695</v>
      </c>
      <c r="DI28" s="1">
        <v>139620</v>
      </c>
      <c r="DJ28" s="1">
        <v>204444</v>
      </c>
      <c r="DK28" s="1">
        <v>301149</v>
      </c>
      <c r="DL28" s="1">
        <v>196817</v>
      </c>
      <c r="DM28" s="1">
        <v>176868</v>
      </c>
      <c r="DN28" s="1">
        <v>215748</v>
      </c>
      <c r="DO28" s="1">
        <v>280144</v>
      </c>
      <c r="DP28" s="1">
        <v>44975</v>
      </c>
      <c r="DQ28" s="1">
        <v>83345</v>
      </c>
      <c r="DR28" s="1">
        <v>94049</v>
      </c>
      <c r="DS28" s="1">
        <v>96619</v>
      </c>
      <c r="DT28" s="1">
        <v>92290</v>
      </c>
      <c r="DU28" s="1">
        <v>68661</v>
      </c>
      <c r="DV28" s="1">
        <v>58827</v>
      </c>
      <c r="DW28" s="2">
        <v>75339.8</v>
      </c>
      <c r="DX28" s="2">
        <v>35120.51</v>
      </c>
      <c r="DY28" s="2">
        <v>2540.41</v>
      </c>
      <c r="DZ28" s="2">
        <v>532.01</v>
      </c>
      <c r="EA28" s="2">
        <v>2708.85</v>
      </c>
      <c r="EB28" s="2">
        <v>2505.84</v>
      </c>
      <c r="EC28" s="2">
        <v>4284.03</v>
      </c>
      <c r="ED28" s="2">
        <v>11001.51</v>
      </c>
      <c r="EE28" s="2">
        <v>6098.06</v>
      </c>
      <c r="EF28" s="2">
        <v>2659.59</v>
      </c>
      <c r="EG28" s="2">
        <v>16233.81</v>
      </c>
      <c r="EH28" s="2">
        <v>2978.14</v>
      </c>
      <c r="EI28" s="2">
        <v>1434.65</v>
      </c>
      <c r="EJ28" s="2">
        <v>1014.02</v>
      </c>
      <c r="EK28" s="2">
        <v>165.15</v>
      </c>
      <c r="EL28" s="2">
        <v>429.51</v>
      </c>
      <c r="EM28" s="2">
        <v>13445.02</v>
      </c>
      <c r="EN28" s="2">
        <v>5317.98</v>
      </c>
      <c r="EO28" s="2">
        <v>1991.22</v>
      </c>
      <c r="EP28" s="1">
        <v>57632</v>
      </c>
      <c r="EQ28" s="1">
        <v>7160</v>
      </c>
      <c r="ER28" s="1">
        <v>978</v>
      </c>
      <c r="ES28" s="1">
        <v>16600</v>
      </c>
      <c r="ET28" s="1">
        <v>76710</v>
      </c>
      <c r="EU28" s="1">
        <v>124791</v>
      </c>
      <c r="EV28" s="1">
        <v>174065</v>
      </c>
      <c r="EW28" s="1">
        <v>9429</v>
      </c>
      <c r="EX28" s="1">
        <v>40240</v>
      </c>
      <c r="EY28" s="1">
        <v>6980</v>
      </c>
      <c r="EZ28" s="1">
        <v>513724</v>
      </c>
      <c r="FA28" s="1">
        <v>26591</v>
      </c>
      <c r="FB28" s="1">
        <v>210819</v>
      </c>
      <c r="FC28" s="1">
        <v>82203</v>
      </c>
      <c r="FD28" s="1">
        <v>46778</v>
      </c>
      <c r="FE28" s="1">
        <v>260185</v>
      </c>
      <c r="FF28" s="1">
        <v>7992</v>
      </c>
      <c r="FG28" s="1">
        <v>697124</v>
      </c>
      <c r="FH28" s="1">
        <v>100164</v>
      </c>
      <c r="FI28" s="1">
        <v>17342</v>
      </c>
      <c r="FJ28" s="1">
        <v>1538</v>
      </c>
      <c r="FK28" s="1">
        <v>3012</v>
      </c>
      <c r="FL28" s="1">
        <v>15813</v>
      </c>
      <c r="FM28" s="1">
        <v>2036</v>
      </c>
      <c r="FN28" s="1">
        <v>134935</v>
      </c>
      <c r="FO28" s="1">
        <v>1083458</v>
      </c>
      <c r="FP28" s="1">
        <v>207</v>
      </c>
      <c r="FQ28" s="1">
        <v>166</v>
      </c>
      <c r="FR28" s="1">
        <v>109</v>
      </c>
      <c r="FS28" s="1">
        <v>142</v>
      </c>
      <c r="FT28" s="1">
        <v>250</v>
      </c>
      <c r="FU28" s="1">
        <v>134</v>
      </c>
      <c r="FV28" s="1">
        <v>213</v>
      </c>
      <c r="FW28" s="1">
        <v>111</v>
      </c>
      <c r="FX28" s="1">
        <v>244</v>
      </c>
      <c r="FY28" s="1">
        <v>194</v>
      </c>
      <c r="FZ28" s="3">
        <v>1.69</v>
      </c>
      <c r="GA28" s="3">
        <v>-2.25</v>
      </c>
      <c r="GB28" s="3">
        <v>-0.89800000000000002</v>
      </c>
      <c r="GC28" s="3">
        <v>-0.184</v>
      </c>
      <c r="GD28" s="3">
        <v>0.29799999999999999</v>
      </c>
      <c r="GE28" s="3">
        <v>0.54600000000000004</v>
      </c>
      <c r="GF28" s="3">
        <v>0.47599999999999998</v>
      </c>
      <c r="GG28" s="3">
        <v>-3.3000000000000002E-2</v>
      </c>
      <c r="GH28" s="3">
        <v>0.26400000000000001</v>
      </c>
      <c r="GI28" s="3">
        <v>-2.5000000000000001E-2</v>
      </c>
      <c r="GJ28" s="3">
        <v>0.30099999999999999</v>
      </c>
      <c r="GK28" s="3">
        <v>-0.17299999999999999</v>
      </c>
      <c r="GL28" s="3">
        <v>0.60599999999999998</v>
      </c>
      <c r="GM28" s="3">
        <v>-0.185</v>
      </c>
      <c r="GN28" s="3">
        <v>0.26600000000000001</v>
      </c>
      <c r="GO28" s="3">
        <v>0.51400000000000001</v>
      </c>
      <c r="GP28" s="3">
        <v>-0.42299999999999999</v>
      </c>
      <c r="GQ28" s="3">
        <v>-0.35399999999999998</v>
      </c>
      <c r="GR28" s="3">
        <v>-0.45500000000000002</v>
      </c>
      <c r="GS28" s="3">
        <v>0.70199999999999996</v>
      </c>
      <c r="GT28" s="3">
        <v>-8.9999999999999993E-3</v>
      </c>
      <c r="GU28" s="3">
        <v>0.23300000000000001</v>
      </c>
      <c r="GV28" s="3">
        <v>0.05</v>
      </c>
      <c r="GW28" s="3">
        <v>-0.45200000000000001</v>
      </c>
      <c r="GX28" s="3">
        <v>3.7999999999999999E-2</v>
      </c>
      <c r="GY28" s="3">
        <v>-0.03</v>
      </c>
      <c r="GZ28" s="4">
        <v>117</v>
      </c>
      <c r="HA28" s="4">
        <v>107</v>
      </c>
      <c r="HB28" s="4">
        <v>139</v>
      </c>
      <c r="HC28" s="4">
        <v>74</v>
      </c>
      <c r="HD28" s="4">
        <v>179</v>
      </c>
      <c r="HE28" s="4">
        <v>113</v>
      </c>
      <c r="HF28" s="1">
        <v>1901</v>
      </c>
      <c r="HG28" s="1">
        <v>1067</v>
      </c>
      <c r="HH28" s="1">
        <v>1215</v>
      </c>
      <c r="HI28" s="1">
        <v>1068</v>
      </c>
      <c r="HJ28" s="1">
        <v>1196</v>
      </c>
      <c r="HK28" s="1">
        <v>1089</v>
      </c>
      <c r="HL28" s="1">
        <v>1001</v>
      </c>
      <c r="HM28" s="1">
        <v>2000</v>
      </c>
      <c r="HN28" s="1">
        <v>2671</v>
      </c>
      <c r="HO28" s="1">
        <v>3185</v>
      </c>
      <c r="HP28" s="1">
        <v>3634</v>
      </c>
      <c r="HQ28" s="1">
        <v>4101</v>
      </c>
      <c r="HR28" s="1">
        <v>3955</v>
      </c>
      <c r="HS28" s="1">
        <v>13102</v>
      </c>
      <c r="HT28" s="1">
        <v>12688</v>
      </c>
      <c r="HU28" s="1">
        <v>19999</v>
      </c>
      <c r="HV28" s="1">
        <v>17276</v>
      </c>
      <c r="HW28" s="1">
        <v>42238</v>
      </c>
      <c r="HX28" s="1">
        <v>41431</v>
      </c>
      <c r="HY28" s="1">
        <v>77277</v>
      </c>
      <c r="HZ28" s="1">
        <v>53732</v>
      </c>
      <c r="IA28" s="1">
        <v>75091</v>
      </c>
      <c r="IB28" s="1">
        <v>30327</v>
      </c>
      <c r="IC28" s="1">
        <v>25413</v>
      </c>
      <c r="ID28" s="1">
        <v>356305</v>
      </c>
      <c r="IE28" s="1">
        <v>5282</v>
      </c>
      <c r="IF28" s="1">
        <v>4838</v>
      </c>
      <c r="IG28" s="1">
        <v>9593</v>
      </c>
      <c r="IH28" s="1">
        <v>10645</v>
      </c>
      <c r="II28" s="1">
        <v>7364</v>
      </c>
      <c r="IJ28" s="1">
        <v>8370</v>
      </c>
      <c r="IK28" s="1">
        <v>10017</v>
      </c>
      <c r="IL28" s="1">
        <v>15526</v>
      </c>
      <c r="IM28" s="1">
        <v>18395</v>
      </c>
      <c r="IN28" s="1">
        <v>23921</v>
      </c>
      <c r="IO28" s="1">
        <v>26848</v>
      </c>
      <c r="IP28" s="1">
        <v>34237</v>
      </c>
      <c r="IQ28" s="1">
        <v>38607</v>
      </c>
      <c r="IR28" s="1">
        <v>40599</v>
      </c>
      <c r="IS28" s="1">
        <v>43807</v>
      </c>
      <c r="IT28" s="1">
        <v>95419</v>
      </c>
      <c r="IU28" s="1">
        <v>91133</v>
      </c>
      <c r="IV28" s="1">
        <v>218157</v>
      </c>
      <c r="IW28">
        <v>174917</v>
      </c>
      <c r="IX28">
        <v>223921</v>
      </c>
      <c r="IY28">
        <v>136378</v>
      </c>
      <c r="IZ28">
        <v>24541</v>
      </c>
      <c r="JA28">
        <v>1147</v>
      </c>
      <c r="JB28">
        <v>126310</v>
      </c>
      <c r="JC28">
        <v>63317</v>
      </c>
      <c r="JD28">
        <v>10724</v>
      </c>
      <c r="JE28">
        <v>15106</v>
      </c>
      <c r="JF28">
        <v>18778</v>
      </c>
      <c r="JG28">
        <v>21400</v>
      </c>
      <c r="JH28">
        <v>40251</v>
      </c>
      <c r="JI28">
        <v>130382</v>
      </c>
      <c r="JJ28">
        <v>4506</v>
      </c>
      <c r="JK28">
        <v>790</v>
      </c>
      <c r="JL28">
        <v>72841</v>
      </c>
      <c r="JM28">
        <v>38757</v>
      </c>
      <c r="JN28">
        <v>39383</v>
      </c>
      <c r="JO28">
        <v>87686</v>
      </c>
      <c r="JP28">
        <v>130416</v>
      </c>
      <c r="JQ28">
        <v>167844</v>
      </c>
      <c r="JR28">
        <v>198287</v>
      </c>
      <c r="JS28">
        <v>533433</v>
      </c>
      <c r="JT28">
        <v>6351</v>
      </c>
      <c r="JU28">
        <v>985</v>
      </c>
      <c r="JV28">
        <v>201922</v>
      </c>
      <c r="JW28">
        <v>169729</v>
      </c>
      <c r="JX28">
        <v>219434</v>
      </c>
      <c r="JY28">
        <v>216615</v>
      </c>
      <c r="JZ28">
        <v>247357</v>
      </c>
      <c r="KA28">
        <v>180301</v>
      </c>
      <c r="KB28">
        <v>136590</v>
      </c>
      <c r="KC28">
        <v>79823</v>
      </c>
      <c r="KD28">
        <v>255776</v>
      </c>
      <c r="KE28">
        <v>5742</v>
      </c>
      <c r="KF28">
        <v>5824</v>
      </c>
      <c r="KG28">
        <v>61021</v>
      </c>
      <c r="KH28">
        <v>131732</v>
      </c>
      <c r="KI28">
        <v>46756</v>
      </c>
      <c r="KJ28">
        <v>164550</v>
      </c>
      <c r="KK28">
        <v>49175</v>
      </c>
      <c r="KL28">
        <v>9444</v>
      </c>
      <c r="KM28">
        <v>88095</v>
      </c>
      <c r="KN28">
        <v>139309</v>
      </c>
      <c r="KO28">
        <v>51600</v>
      </c>
      <c r="KP28">
        <v>329757</v>
      </c>
      <c r="KQ28">
        <v>2622</v>
      </c>
      <c r="KR28">
        <v>69121</v>
      </c>
      <c r="KS28">
        <v>189950</v>
      </c>
      <c r="KT28">
        <v>213227</v>
      </c>
      <c r="KU28">
        <v>59724</v>
      </c>
      <c r="KV28">
        <v>131474</v>
      </c>
      <c r="KW28">
        <v>84979</v>
      </c>
      <c r="KX28">
        <v>100463</v>
      </c>
      <c r="KY28">
        <v>1311989</v>
      </c>
      <c r="KZ28">
        <v>66881</v>
      </c>
      <c r="LA28">
        <v>191861</v>
      </c>
      <c r="LB28">
        <v>96925</v>
      </c>
      <c r="LC28">
        <v>72365</v>
      </c>
      <c r="LD28">
        <v>79992</v>
      </c>
      <c r="LE28">
        <v>113284</v>
      </c>
      <c r="LF28">
        <v>1268</v>
      </c>
      <c r="LG28">
        <v>1205390</v>
      </c>
      <c r="LH28">
        <v>35472</v>
      </c>
      <c r="LI28">
        <v>149024</v>
      </c>
      <c r="LJ28">
        <v>24731</v>
      </c>
      <c r="LK28">
        <v>124510</v>
      </c>
      <c r="LL28">
        <v>38828</v>
      </c>
      <c r="LM28">
        <v>101729</v>
      </c>
      <c r="LN28">
        <v>4609</v>
      </c>
      <c r="LO28">
        <v>23254</v>
      </c>
      <c r="LP28">
        <v>617.3175</v>
      </c>
      <c r="LQ28">
        <v>5887.5505300000004</v>
      </c>
    </row>
    <row r="29" spans="1:329" x14ac:dyDescent="0.25">
      <c r="A29" s="5" t="s">
        <v>351</v>
      </c>
      <c r="B29" s="5" t="s">
        <v>284</v>
      </c>
      <c r="C29" s="1">
        <v>3104216</v>
      </c>
      <c r="D29" s="1">
        <v>3510938</v>
      </c>
      <c r="E29" s="1">
        <v>3670385</v>
      </c>
      <c r="F29" s="1">
        <v>3898070</v>
      </c>
      <c r="G29" s="1">
        <v>3956402</v>
      </c>
      <c r="H29" s="1">
        <v>1069349</v>
      </c>
      <c r="I29" s="1">
        <v>1155572</v>
      </c>
      <c r="J29" s="1">
        <v>1203624</v>
      </c>
      <c r="K29" s="1">
        <v>1302445</v>
      </c>
      <c r="L29" s="1">
        <v>1352571</v>
      </c>
      <c r="M29" s="1">
        <v>1350576</v>
      </c>
      <c r="N29" s="1">
        <v>505086</v>
      </c>
      <c r="O29" s="1">
        <v>797359</v>
      </c>
      <c r="P29" s="1">
        <v>48131</v>
      </c>
      <c r="Q29" s="1">
        <v>95971</v>
      </c>
      <c r="R29" s="1">
        <v>12949</v>
      </c>
      <c r="S29" s="1">
        <v>134</v>
      </c>
      <c r="T29" s="1">
        <v>3286425</v>
      </c>
      <c r="U29" s="1">
        <v>555886</v>
      </c>
      <c r="V29" s="1">
        <v>55759</v>
      </c>
      <c r="W29" s="1">
        <v>5342</v>
      </c>
      <c r="X29" s="1">
        <v>4462</v>
      </c>
      <c r="Y29" s="2">
        <v>34.520000000000003</v>
      </c>
      <c r="Z29" s="1">
        <v>261757</v>
      </c>
      <c r="AA29" s="1">
        <v>250761</v>
      </c>
      <c r="AB29" s="1">
        <v>246245</v>
      </c>
      <c r="AC29" s="1">
        <v>238642</v>
      </c>
      <c r="AD29" s="1">
        <v>273114</v>
      </c>
      <c r="AE29" s="1">
        <v>335382</v>
      </c>
      <c r="AF29" s="1">
        <v>313554</v>
      </c>
      <c r="AG29" s="1">
        <v>284757</v>
      </c>
      <c r="AH29" s="1">
        <v>250962</v>
      </c>
      <c r="AI29" s="1">
        <v>248738</v>
      </c>
      <c r="AJ29" s="1">
        <v>234759</v>
      </c>
      <c r="AK29" s="1">
        <v>232420</v>
      </c>
      <c r="AL29" s="1">
        <v>206448</v>
      </c>
      <c r="AM29" s="1">
        <v>168129</v>
      </c>
      <c r="AN29" s="1">
        <v>129364</v>
      </c>
      <c r="AO29" s="1">
        <v>88304</v>
      </c>
      <c r="AP29" s="1">
        <v>60355</v>
      </c>
      <c r="AQ29" s="1">
        <v>74381</v>
      </c>
      <c r="AR29" s="1">
        <v>1932380</v>
      </c>
      <c r="AS29" s="1">
        <v>1965689</v>
      </c>
      <c r="AT29" s="1">
        <v>827843</v>
      </c>
      <c r="AU29" s="1">
        <v>295336</v>
      </c>
      <c r="AV29" s="1">
        <v>11648</v>
      </c>
      <c r="AW29" s="1">
        <v>1176240</v>
      </c>
      <c r="AX29" s="1">
        <v>107718</v>
      </c>
      <c r="AY29" s="1">
        <v>15852</v>
      </c>
      <c r="AZ29" s="1">
        <v>285660</v>
      </c>
      <c r="BA29" s="1">
        <v>1177869</v>
      </c>
      <c r="BB29" s="1">
        <v>3139309</v>
      </c>
      <c r="BC29" s="1">
        <v>1220430</v>
      </c>
      <c r="BD29" s="1">
        <v>1247287</v>
      </c>
      <c r="BE29" s="1">
        <v>218803</v>
      </c>
      <c r="BF29" s="1">
        <v>159493</v>
      </c>
      <c r="BG29" s="1">
        <v>293296</v>
      </c>
      <c r="BH29" s="1">
        <v>2627552</v>
      </c>
      <c r="BI29" s="1">
        <v>256450</v>
      </c>
      <c r="BJ29" s="1">
        <v>207824</v>
      </c>
      <c r="BK29" s="1">
        <v>674335</v>
      </c>
      <c r="BL29" s="1">
        <v>524937</v>
      </c>
      <c r="BM29" s="1">
        <v>214955</v>
      </c>
      <c r="BN29" s="1">
        <v>507598</v>
      </c>
      <c r="BO29" s="1">
        <v>241453</v>
      </c>
      <c r="BP29" s="1">
        <v>3094716</v>
      </c>
      <c r="BQ29" s="1">
        <v>30320</v>
      </c>
      <c r="BR29" s="1">
        <v>1946118</v>
      </c>
      <c r="BS29" s="1">
        <v>71142</v>
      </c>
      <c r="BT29" s="1">
        <v>1047136</v>
      </c>
      <c r="BU29" s="1">
        <v>895591</v>
      </c>
      <c r="BV29" s="1">
        <v>406854</v>
      </c>
      <c r="BW29" s="1">
        <v>303363</v>
      </c>
      <c r="BX29" s="1">
        <v>49469</v>
      </c>
      <c r="BY29" s="1">
        <v>130999</v>
      </c>
      <c r="BZ29" s="1">
        <v>284179</v>
      </c>
      <c r="CA29" s="1">
        <v>43568</v>
      </c>
      <c r="CB29" s="1">
        <v>83795</v>
      </c>
      <c r="CC29" s="2">
        <v>2.95</v>
      </c>
      <c r="CD29" s="1">
        <v>303992</v>
      </c>
      <c r="CE29" s="1">
        <v>342130</v>
      </c>
      <c r="CF29" s="1">
        <v>224267</v>
      </c>
      <c r="CG29" s="1">
        <v>192230</v>
      </c>
      <c r="CH29" s="1">
        <v>112466</v>
      </c>
      <c r="CI29" s="1">
        <v>58512</v>
      </c>
      <c r="CJ29" s="1">
        <v>68848</v>
      </c>
      <c r="CK29" s="2">
        <v>48.88</v>
      </c>
      <c r="CL29" s="1">
        <v>48618</v>
      </c>
      <c r="CM29" s="1">
        <v>232053</v>
      </c>
      <c r="CN29" s="1">
        <v>250272</v>
      </c>
      <c r="CO29" s="1">
        <v>246472</v>
      </c>
      <c r="CP29" s="1">
        <v>234991</v>
      </c>
      <c r="CQ29" s="1">
        <v>164127</v>
      </c>
      <c r="CR29" s="1">
        <v>84750</v>
      </c>
      <c r="CS29" s="1">
        <v>41160</v>
      </c>
      <c r="CT29" s="1">
        <v>129484</v>
      </c>
      <c r="CU29" s="1">
        <v>468025</v>
      </c>
      <c r="CV29" s="1">
        <v>704935</v>
      </c>
      <c r="CW29" s="1">
        <v>27534</v>
      </c>
      <c r="CX29" s="1">
        <v>64644</v>
      </c>
      <c r="CY29" s="1">
        <v>74420</v>
      </c>
      <c r="CZ29" s="1">
        <v>74047</v>
      </c>
      <c r="DA29" s="1">
        <v>55584</v>
      </c>
      <c r="DB29" s="1">
        <v>54061</v>
      </c>
      <c r="DC29" s="1">
        <v>59242</v>
      </c>
      <c r="DD29" s="1">
        <v>52289</v>
      </c>
      <c r="DE29" s="1">
        <v>51933</v>
      </c>
      <c r="DF29" s="1">
        <v>53549</v>
      </c>
      <c r="DG29" s="1">
        <v>56011</v>
      </c>
      <c r="DH29" s="1">
        <v>52473</v>
      </c>
      <c r="DI29" s="1">
        <v>100194</v>
      </c>
      <c r="DJ29" s="1">
        <v>135115</v>
      </c>
      <c r="DK29" s="1">
        <v>189375</v>
      </c>
      <c r="DL29" s="1">
        <v>108707</v>
      </c>
      <c r="DM29" s="1">
        <v>87547</v>
      </c>
      <c r="DN29" s="1">
        <v>93846</v>
      </c>
      <c r="DO29" s="1">
        <v>78475</v>
      </c>
      <c r="DP29" s="1">
        <v>39979</v>
      </c>
      <c r="DQ29" s="1">
        <v>64590</v>
      </c>
      <c r="DR29" s="1">
        <v>73117</v>
      </c>
      <c r="DS29" s="1">
        <v>74738</v>
      </c>
      <c r="DT29" s="1">
        <v>69149</v>
      </c>
      <c r="DU29" s="1">
        <v>57299</v>
      </c>
      <c r="DV29" s="1">
        <v>45747</v>
      </c>
      <c r="DW29" s="2">
        <v>60991.37</v>
      </c>
      <c r="DX29" s="2">
        <v>28768.560000000001</v>
      </c>
      <c r="DY29" s="2">
        <v>1932.66</v>
      </c>
      <c r="DZ29" s="2">
        <v>418.1</v>
      </c>
      <c r="EA29" s="2">
        <v>2174.4299999999998</v>
      </c>
      <c r="EB29" s="2">
        <v>1829.75</v>
      </c>
      <c r="EC29" s="2">
        <v>3418.41</v>
      </c>
      <c r="ED29" s="2">
        <v>9058.4699999999993</v>
      </c>
      <c r="EE29" s="2">
        <v>5085.6000000000004</v>
      </c>
      <c r="EF29" s="2">
        <v>2121.79</v>
      </c>
      <c r="EG29" s="2">
        <v>13002.36</v>
      </c>
      <c r="EH29" s="2">
        <v>2369.17</v>
      </c>
      <c r="EI29" s="2">
        <v>1142.5899999999999</v>
      </c>
      <c r="EJ29" s="2">
        <v>818.12</v>
      </c>
      <c r="EK29" s="2">
        <v>130.72999999999999</v>
      </c>
      <c r="EL29" s="2">
        <v>380.7</v>
      </c>
      <c r="EM29" s="2">
        <v>11113.61</v>
      </c>
      <c r="EN29" s="2">
        <v>4524.08</v>
      </c>
      <c r="EO29" s="2">
        <v>1470.8</v>
      </c>
      <c r="EP29" s="1">
        <v>39197</v>
      </c>
      <c r="EQ29" s="1">
        <v>6065</v>
      </c>
      <c r="ER29" s="1">
        <v>536</v>
      </c>
      <c r="ES29" s="1">
        <v>11265</v>
      </c>
      <c r="ET29" s="1">
        <v>47378</v>
      </c>
      <c r="EU29" s="1">
        <v>68545</v>
      </c>
      <c r="EV29" s="1">
        <v>113786</v>
      </c>
      <c r="EW29" s="1">
        <v>5348</v>
      </c>
      <c r="EX29" s="1">
        <v>29514</v>
      </c>
      <c r="EY29" s="1">
        <v>6129</v>
      </c>
      <c r="EZ29" s="1">
        <v>327657</v>
      </c>
      <c r="FA29" s="1">
        <v>23044</v>
      </c>
      <c r="FB29" s="1">
        <v>295849</v>
      </c>
      <c r="FC29" s="1">
        <v>64652</v>
      </c>
      <c r="FD29" s="1">
        <v>37247</v>
      </c>
      <c r="FE29" s="1">
        <v>177719</v>
      </c>
      <c r="FF29" s="1">
        <v>5557</v>
      </c>
      <c r="FG29" s="1">
        <v>557650</v>
      </c>
      <c r="FH29" s="1">
        <v>135505</v>
      </c>
      <c r="FI29" s="1">
        <v>15556</v>
      </c>
      <c r="FJ29" s="1">
        <v>704</v>
      </c>
      <c r="FK29" s="1">
        <v>2953</v>
      </c>
      <c r="FL29" s="1">
        <v>13749</v>
      </c>
      <c r="FM29" s="1">
        <v>1373</v>
      </c>
      <c r="FN29" s="1">
        <v>125143</v>
      </c>
      <c r="FO29" s="1">
        <v>767199</v>
      </c>
      <c r="FP29" s="1">
        <v>113</v>
      </c>
      <c r="FQ29" s="1">
        <v>116</v>
      </c>
      <c r="FR29" s="1">
        <v>100</v>
      </c>
      <c r="FS29" s="1">
        <v>88</v>
      </c>
      <c r="FT29" s="1">
        <v>151</v>
      </c>
      <c r="FU29" s="1">
        <v>106</v>
      </c>
      <c r="FV29" s="1">
        <v>112</v>
      </c>
      <c r="FW29" s="1">
        <v>102</v>
      </c>
      <c r="FX29" s="1">
        <v>101</v>
      </c>
      <c r="FY29" s="1">
        <v>221</v>
      </c>
      <c r="FZ29" s="3">
        <v>-0.30099999999999999</v>
      </c>
      <c r="GA29" s="3">
        <v>-8.3000000000000004E-2</v>
      </c>
      <c r="GB29" s="3">
        <v>-0.48199999999999998</v>
      </c>
      <c r="GC29" s="3">
        <v>0.33</v>
      </c>
      <c r="GD29" s="3">
        <v>6.2E-2</v>
      </c>
      <c r="GE29" s="3">
        <v>-0.23799999999999999</v>
      </c>
      <c r="GF29" s="3">
        <v>3.6629999999999998</v>
      </c>
      <c r="GG29" s="3">
        <v>4.1000000000000002E-2</v>
      </c>
      <c r="GH29" s="3">
        <v>0.107</v>
      </c>
      <c r="GI29" s="3">
        <v>-0.314</v>
      </c>
      <c r="GJ29" s="3">
        <v>0.52</v>
      </c>
      <c r="GK29" s="3">
        <v>-0.151</v>
      </c>
      <c r="GL29" s="3">
        <v>-0.33600000000000002</v>
      </c>
      <c r="GM29" s="3">
        <v>0.26500000000000001</v>
      </c>
      <c r="GN29" s="3">
        <v>-0.1</v>
      </c>
      <c r="GO29" s="3">
        <v>-0.05</v>
      </c>
      <c r="GP29" s="3">
        <v>-0.30499999999999999</v>
      </c>
      <c r="GQ29" s="3">
        <v>4.4999999999999998E-2</v>
      </c>
      <c r="GR29" s="3">
        <v>-0.16400000000000001</v>
      </c>
      <c r="GS29" s="3">
        <v>-0.14199999999999999</v>
      </c>
      <c r="GT29" s="3">
        <v>0.115</v>
      </c>
      <c r="GU29" s="3">
        <v>-0.22</v>
      </c>
      <c r="GV29" s="3">
        <v>-1.6E-2</v>
      </c>
      <c r="GW29" s="3">
        <v>8.4000000000000005E-2</v>
      </c>
      <c r="GX29" s="3">
        <v>-0.161</v>
      </c>
      <c r="GY29" s="3">
        <v>-2.9000000000000001E-2</v>
      </c>
      <c r="GZ29" s="4">
        <v>103</v>
      </c>
      <c r="HA29" s="4">
        <v>84</v>
      </c>
      <c r="HB29" s="4">
        <v>119</v>
      </c>
      <c r="HC29" s="4">
        <v>88</v>
      </c>
      <c r="HD29" s="4">
        <v>142</v>
      </c>
      <c r="HE29" s="4">
        <v>126</v>
      </c>
      <c r="HF29" s="1">
        <v>2832</v>
      </c>
      <c r="HG29" s="1">
        <v>1560</v>
      </c>
      <c r="HH29" s="1">
        <v>1591</v>
      </c>
      <c r="HI29" s="1">
        <v>1644</v>
      </c>
      <c r="HJ29" s="1">
        <v>1459</v>
      </c>
      <c r="HK29" s="1">
        <v>1622</v>
      </c>
      <c r="HL29" s="1">
        <v>1271</v>
      </c>
      <c r="HM29" s="1">
        <v>3435</v>
      </c>
      <c r="HN29" s="1">
        <v>3934</v>
      </c>
      <c r="HO29" s="1">
        <v>3740</v>
      </c>
      <c r="HP29" s="1">
        <v>4363</v>
      </c>
      <c r="HQ29" s="1">
        <v>4954</v>
      </c>
      <c r="HR29" s="1">
        <v>4576</v>
      </c>
      <c r="HS29" s="1">
        <v>14632</v>
      </c>
      <c r="HT29" s="1">
        <v>12568</v>
      </c>
      <c r="HU29" s="1">
        <v>20805</v>
      </c>
      <c r="HV29" s="1">
        <v>15923</v>
      </c>
      <c r="HW29" s="1">
        <v>37474</v>
      </c>
      <c r="HX29" s="1">
        <v>37771</v>
      </c>
      <c r="HY29" s="1">
        <v>75626</v>
      </c>
      <c r="HZ29" s="1">
        <v>60732</v>
      </c>
      <c r="IA29" s="1">
        <v>102797</v>
      </c>
      <c r="IB29" s="1">
        <v>35086</v>
      </c>
      <c r="IC29" s="1">
        <v>21047</v>
      </c>
      <c r="ID29" s="1">
        <v>378764</v>
      </c>
      <c r="IE29" s="1">
        <v>4111</v>
      </c>
      <c r="IF29" s="1">
        <v>4549</v>
      </c>
      <c r="IG29" s="1">
        <v>5582</v>
      </c>
      <c r="IH29" s="1">
        <v>10461</v>
      </c>
      <c r="II29" s="1">
        <v>5158</v>
      </c>
      <c r="IJ29" s="1">
        <v>6791</v>
      </c>
      <c r="IK29" s="1">
        <v>5887</v>
      </c>
      <c r="IL29" s="1">
        <v>9249</v>
      </c>
      <c r="IM29" s="1">
        <v>8933</v>
      </c>
      <c r="IN29" s="1">
        <v>15169</v>
      </c>
      <c r="IO29" s="1">
        <v>13475</v>
      </c>
      <c r="IP29" s="1">
        <v>19265</v>
      </c>
      <c r="IQ29" s="1">
        <v>20572</v>
      </c>
      <c r="IR29" s="1">
        <v>25272</v>
      </c>
      <c r="IS29" s="1">
        <v>27523</v>
      </c>
      <c r="IT29" s="1">
        <v>70722</v>
      </c>
      <c r="IU29" s="1">
        <v>70523</v>
      </c>
      <c r="IV29" s="1">
        <v>168698</v>
      </c>
      <c r="IW29">
        <v>93291</v>
      </c>
      <c r="IX29">
        <v>77939</v>
      </c>
      <c r="IY29">
        <v>31050</v>
      </c>
      <c r="IZ29">
        <v>22135</v>
      </c>
      <c r="JA29">
        <v>1067</v>
      </c>
      <c r="JB29">
        <v>306972</v>
      </c>
      <c r="JC29">
        <v>37221</v>
      </c>
      <c r="JD29">
        <v>6005</v>
      </c>
      <c r="JE29">
        <v>8113</v>
      </c>
      <c r="JF29">
        <v>10623</v>
      </c>
      <c r="JG29">
        <v>6054</v>
      </c>
      <c r="JH29">
        <v>8275</v>
      </c>
      <c r="JI29">
        <v>14852</v>
      </c>
      <c r="JJ29">
        <v>9122</v>
      </c>
      <c r="JK29">
        <v>432</v>
      </c>
      <c r="JL29">
        <v>134127</v>
      </c>
      <c r="JM29">
        <v>57931</v>
      </c>
      <c r="JN29">
        <v>36497</v>
      </c>
      <c r="JO29">
        <v>80126</v>
      </c>
      <c r="JP29">
        <v>89258</v>
      </c>
      <c r="JQ29">
        <v>80439</v>
      </c>
      <c r="JR29">
        <v>81382</v>
      </c>
      <c r="JS29">
        <v>91848</v>
      </c>
      <c r="JT29">
        <v>4247</v>
      </c>
      <c r="JU29">
        <v>316</v>
      </c>
      <c r="JV29">
        <v>43304</v>
      </c>
      <c r="JW29">
        <v>47501</v>
      </c>
      <c r="JX29">
        <v>114495</v>
      </c>
      <c r="JY29">
        <v>162311</v>
      </c>
      <c r="JZ29">
        <v>226847</v>
      </c>
      <c r="KA29">
        <v>176684</v>
      </c>
      <c r="KB29">
        <v>148686</v>
      </c>
      <c r="KC29">
        <v>65942</v>
      </c>
      <c r="KD29">
        <v>78070</v>
      </c>
      <c r="KE29">
        <v>16670</v>
      </c>
      <c r="KF29">
        <v>904</v>
      </c>
      <c r="KG29">
        <v>95279</v>
      </c>
      <c r="KH29">
        <v>128796</v>
      </c>
      <c r="KI29">
        <v>45708</v>
      </c>
      <c r="KJ29">
        <v>177006</v>
      </c>
      <c r="KK29">
        <v>71321</v>
      </c>
      <c r="KL29">
        <v>10042</v>
      </c>
      <c r="KM29">
        <v>30336</v>
      </c>
      <c r="KN29">
        <v>52943</v>
      </c>
      <c r="KO29">
        <v>33425</v>
      </c>
      <c r="KP29">
        <v>77655</v>
      </c>
      <c r="KQ29">
        <v>781</v>
      </c>
      <c r="KR29">
        <v>84919</v>
      </c>
      <c r="KS29">
        <v>105310</v>
      </c>
      <c r="KT29">
        <v>181282</v>
      </c>
      <c r="KU29">
        <v>35533</v>
      </c>
      <c r="KV29">
        <v>158026</v>
      </c>
      <c r="KW29">
        <v>84476</v>
      </c>
      <c r="KX29">
        <v>76351</v>
      </c>
      <c r="KY29">
        <v>1017091</v>
      </c>
      <c r="KZ29">
        <v>34380</v>
      </c>
      <c r="LA29">
        <v>93713</v>
      </c>
      <c r="LB29">
        <v>86935</v>
      </c>
      <c r="LC29">
        <v>76716</v>
      </c>
      <c r="LD29">
        <v>53908</v>
      </c>
      <c r="LE29">
        <v>101027</v>
      </c>
      <c r="LF29">
        <v>2993</v>
      </c>
      <c r="LG29">
        <v>543846</v>
      </c>
      <c r="LH29">
        <v>54531</v>
      </c>
      <c r="LI29">
        <v>163310</v>
      </c>
      <c r="LJ29">
        <v>10311</v>
      </c>
      <c r="LK29">
        <v>40233</v>
      </c>
      <c r="LL29">
        <v>74333</v>
      </c>
      <c r="LM29">
        <v>164183</v>
      </c>
      <c r="LN29">
        <v>3250</v>
      </c>
      <c r="LO29">
        <v>9843</v>
      </c>
      <c r="LP29">
        <v>5879.1469699999998</v>
      </c>
      <c r="LQ29">
        <v>589.80478000000005</v>
      </c>
    </row>
    <row r="30" spans="1:329" x14ac:dyDescent="0.25">
      <c r="A30" s="5" t="s">
        <v>352</v>
      </c>
      <c r="B30" s="5" t="s">
        <v>285</v>
      </c>
      <c r="C30" s="1">
        <v>3688323</v>
      </c>
      <c r="D30" s="1">
        <v>4104618</v>
      </c>
      <c r="E30" s="1">
        <v>4187025</v>
      </c>
      <c r="F30" s="1">
        <v>4423506</v>
      </c>
      <c r="G30" s="1">
        <v>4412019</v>
      </c>
      <c r="H30" s="1">
        <v>1327511</v>
      </c>
      <c r="I30" s="1">
        <v>1421277</v>
      </c>
      <c r="J30" s="1">
        <v>1475676</v>
      </c>
      <c r="K30" s="1">
        <v>1586126</v>
      </c>
      <c r="L30" s="1">
        <v>1641724</v>
      </c>
      <c r="M30" s="1">
        <v>1645067</v>
      </c>
      <c r="N30" s="1">
        <v>312307</v>
      </c>
      <c r="O30" s="1">
        <v>1273819</v>
      </c>
      <c r="P30" s="1">
        <v>58941</v>
      </c>
      <c r="Q30" s="1">
        <v>116191</v>
      </c>
      <c r="R30" s="1">
        <v>5743</v>
      </c>
      <c r="S30" s="1">
        <v>31</v>
      </c>
      <c r="T30" s="1">
        <v>3609439</v>
      </c>
      <c r="U30" s="1">
        <v>759194</v>
      </c>
      <c r="V30" s="1">
        <v>54873</v>
      </c>
      <c r="W30" s="1">
        <v>3853</v>
      </c>
      <c r="X30" s="1">
        <v>34</v>
      </c>
      <c r="Y30" s="2">
        <v>34.14</v>
      </c>
      <c r="Z30" s="1">
        <v>311905</v>
      </c>
      <c r="AA30" s="1">
        <v>289039</v>
      </c>
      <c r="AB30" s="1">
        <v>269010</v>
      </c>
      <c r="AC30" s="1">
        <v>252827</v>
      </c>
      <c r="AD30" s="1">
        <v>299442</v>
      </c>
      <c r="AE30" s="1">
        <v>401645</v>
      </c>
      <c r="AF30" s="1">
        <v>378455</v>
      </c>
      <c r="AG30" s="1">
        <v>336594</v>
      </c>
      <c r="AH30" s="1">
        <v>287366</v>
      </c>
      <c r="AI30" s="1">
        <v>278325</v>
      </c>
      <c r="AJ30" s="1">
        <v>265374</v>
      </c>
      <c r="AK30" s="1">
        <v>260253</v>
      </c>
      <c r="AL30" s="1">
        <v>227991</v>
      </c>
      <c r="AM30" s="1">
        <v>182940</v>
      </c>
      <c r="AN30" s="1">
        <v>139729</v>
      </c>
      <c r="AO30" s="1">
        <v>98056</v>
      </c>
      <c r="AP30" s="1">
        <v>67958</v>
      </c>
      <c r="AQ30" s="1">
        <v>76599</v>
      </c>
      <c r="AR30" s="1">
        <v>2152327</v>
      </c>
      <c r="AS30" s="1">
        <v>2271178</v>
      </c>
      <c r="AT30" s="1">
        <v>931739</v>
      </c>
      <c r="AU30" s="1">
        <v>1085054</v>
      </c>
      <c r="AV30" s="1">
        <v>9467</v>
      </c>
      <c r="AW30" s="1">
        <v>724317</v>
      </c>
      <c r="AX30" s="1">
        <v>1968</v>
      </c>
      <c r="AY30" s="1">
        <v>46423</v>
      </c>
      <c r="AZ30" s="1">
        <v>70524</v>
      </c>
      <c r="BA30" s="1">
        <v>1554080</v>
      </c>
      <c r="BB30" s="1">
        <v>3553552</v>
      </c>
      <c r="BC30" s="1">
        <v>1628518</v>
      </c>
      <c r="BD30" s="1">
        <v>1123945</v>
      </c>
      <c r="BE30" s="1">
        <v>335081</v>
      </c>
      <c r="BF30" s="1">
        <v>179362</v>
      </c>
      <c r="BG30" s="1">
        <v>286646</v>
      </c>
      <c r="BH30" s="1">
        <v>3001282</v>
      </c>
      <c r="BI30" s="1">
        <v>386540</v>
      </c>
      <c r="BJ30" s="1">
        <v>334904</v>
      </c>
      <c r="BK30" s="1">
        <v>839952</v>
      </c>
      <c r="BL30" s="1">
        <v>430218</v>
      </c>
      <c r="BM30" s="1">
        <v>196373</v>
      </c>
      <c r="BN30" s="1">
        <v>527502</v>
      </c>
      <c r="BO30" s="1">
        <v>285793</v>
      </c>
      <c r="BP30" s="1">
        <v>3506600</v>
      </c>
      <c r="BQ30" s="1">
        <v>1567</v>
      </c>
      <c r="BR30" s="1">
        <v>2130589</v>
      </c>
      <c r="BS30" s="1">
        <v>97837</v>
      </c>
      <c r="BT30" s="1">
        <v>1276607</v>
      </c>
      <c r="BU30" s="1">
        <v>1010029</v>
      </c>
      <c r="BV30" s="1">
        <v>576097</v>
      </c>
      <c r="BW30" s="1">
        <v>280342</v>
      </c>
      <c r="BX30" s="1">
        <v>51567</v>
      </c>
      <c r="BY30" s="1">
        <v>215172</v>
      </c>
      <c r="BZ30" s="1">
        <v>262830</v>
      </c>
      <c r="CA30" s="1">
        <v>60314</v>
      </c>
      <c r="CB30" s="1">
        <v>139702</v>
      </c>
      <c r="CC30" s="2">
        <v>2.75</v>
      </c>
      <c r="CD30" s="1">
        <v>450553</v>
      </c>
      <c r="CE30" s="1">
        <v>405484</v>
      </c>
      <c r="CF30" s="1">
        <v>269002</v>
      </c>
      <c r="CG30" s="1">
        <v>211619</v>
      </c>
      <c r="CH30" s="1">
        <v>122620</v>
      </c>
      <c r="CI30" s="1">
        <v>60865</v>
      </c>
      <c r="CJ30" s="1">
        <v>65983</v>
      </c>
      <c r="CK30" s="2">
        <v>48.34</v>
      </c>
      <c r="CL30" s="1">
        <v>49501</v>
      </c>
      <c r="CM30" s="1">
        <v>300602</v>
      </c>
      <c r="CN30" s="1">
        <v>313540</v>
      </c>
      <c r="CO30" s="1">
        <v>298504</v>
      </c>
      <c r="CP30" s="1">
        <v>280720</v>
      </c>
      <c r="CQ30" s="1">
        <v>193041</v>
      </c>
      <c r="CR30" s="1">
        <v>102972</v>
      </c>
      <c r="CS30" s="1">
        <v>47246</v>
      </c>
      <c r="CT30" s="1">
        <v>872946</v>
      </c>
      <c r="CU30" s="1">
        <v>519674</v>
      </c>
      <c r="CV30" s="1">
        <v>193506</v>
      </c>
      <c r="CW30" s="1">
        <v>23976</v>
      </c>
      <c r="CX30" s="1">
        <v>48842</v>
      </c>
      <c r="CY30" s="1">
        <v>56432</v>
      </c>
      <c r="CZ30" s="1">
        <v>168648</v>
      </c>
      <c r="DA30" s="1">
        <v>103450</v>
      </c>
      <c r="DB30" s="1">
        <v>93193</v>
      </c>
      <c r="DC30" s="1">
        <v>93163</v>
      </c>
      <c r="DD30" s="1">
        <v>75406</v>
      </c>
      <c r="DE30" s="1">
        <v>71970</v>
      </c>
      <c r="DF30" s="1">
        <v>69987</v>
      </c>
      <c r="DG30" s="1">
        <v>69172</v>
      </c>
      <c r="DH30" s="1">
        <v>62539</v>
      </c>
      <c r="DI30" s="1">
        <v>117751</v>
      </c>
      <c r="DJ30" s="1">
        <v>149135</v>
      </c>
      <c r="DK30" s="1">
        <v>185677</v>
      </c>
      <c r="DL30" s="1">
        <v>99651</v>
      </c>
      <c r="DM30" s="1">
        <v>78658</v>
      </c>
      <c r="DN30" s="1">
        <v>82161</v>
      </c>
      <c r="DO30" s="1">
        <v>65564</v>
      </c>
      <c r="DP30" s="1">
        <v>27289</v>
      </c>
      <c r="DQ30" s="1">
        <v>51538</v>
      </c>
      <c r="DR30" s="1">
        <v>54870</v>
      </c>
      <c r="DS30" s="1">
        <v>57123</v>
      </c>
      <c r="DT30" s="1">
        <v>49158</v>
      </c>
      <c r="DU30" s="1">
        <v>43694</v>
      </c>
      <c r="DV30" s="1">
        <v>33844</v>
      </c>
      <c r="DW30" s="2">
        <v>52807.1</v>
      </c>
      <c r="DX30" s="2">
        <v>24646.76</v>
      </c>
      <c r="DY30" s="2">
        <v>1608.19</v>
      </c>
      <c r="DZ30" s="2">
        <v>344.95</v>
      </c>
      <c r="EA30" s="2">
        <v>1888.63</v>
      </c>
      <c r="EB30" s="2">
        <v>1595.36</v>
      </c>
      <c r="EC30" s="2">
        <v>2903.19</v>
      </c>
      <c r="ED30" s="2">
        <v>7920.79</v>
      </c>
      <c r="EE30" s="2">
        <v>4434.7299999999996</v>
      </c>
      <c r="EF30" s="2">
        <v>1808.88</v>
      </c>
      <c r="EG30" s="2">
        <v>11502.22</v>
      </c>
      <c r="EH30" s="2">
        <v>2026.15</v>
      </c>
      <c r="EI30" s="2">
        <v>994.01</v>
      </c>
      <c r="EJ30" s="2">
        <v>710.65</v>
      </c>
      <c r="EK30" s="2">
        <v>112.68</v>
      </c>
      <c r="EL30" s="2">
        <v>353.9</v>
      </c>
      <c r="EM30" s="2">
        <v>9345.85</v>
      </c>
      <c r="EN30" s="2">
        <v>4001.75</v>
      </c>
      <c r="EO30" s="2">
        <v>1255.17</v>
      </c>
      <c r="EP30" s="1">
        <v>41376</v>
      </c>
      <c r="EQ30" s="1">
        <v>4937</v>
      </c>
      <c r="ER30" s="1">
        <v>1444</v>
      </c>
      <c r="ES30" s="1">
        <v>8419</v>
      </c>
      <c r="ET30" s="1">
        <v>42654</v>
      </c>
      <c r="EU30" s="1">
        <v>64440</v>
      </c>
      <c r="EV30" s="1">
        <v>120259</v>
      </c>
      <c r="EW30" s="1">
        <v>6711</v>
      </c>
      <c r="EX30" s="1">
        <v>21923</v>
      </c>
      <c r="EY30" s="1">
        <v>2314</v>
      </c>
      <c r="EZ30" s="1">
        <v>312691</v>
      </c>
      <c r="FA30" s="1">
        <v>16833</v>
      </c>
      <c r="FB30" s="1">
        <v>144559</v>
      </c>
      <c r="FC30" s="1">
        <v>45213</v>
      </c>
      <c r="FD30" s="1">
        <v>9197</v>
      </c>
      <c r="FE30" s="1">
        <v>82468</v>
      </c>
      <c r="FF30" s="1">
        <v>4056</v>
      </c>
      <c r="FG30" s="1">
        <v>351318</v>
      </c>
      <c r="FH30" s="1">
        <v>74063</v>
      </c>
      <c r="FI30" s="1">
        <v>12417</v>
      </c>
      <c r="FJ30" s="1">
        <v>563</v>
      </c>
      <c r="FK30" s="1">
        <v>2422</v>
      </c>
      <c r="FL30" s="1">
        <v>8128</v>
      </c>
      <c r="FM30" s="1">
        <v>1248</v>
      </c>
      <c r="FN30" s="1">
        <v>91144</v>
      </c>
      <c r="FO30" s="1">
        <v>575540</v>
      </c>
      <c r="FP30" s="1">
        <v>75</v>
      </c>
      <c r="FQ30" s="1">
        <v>171</v>
      </c>
      <c r="FR30" s="1">
        <v>112</v>
      </c>
      <c r="FS30" s="1">
        <v>71</v>
      </c>
      <c r="FT30" s="1">
        <v>221</v>
      </c>
      <c r="FU30" s="1">
        <v>167</v>
      </c>
      <c r="FV30" s="1">
        <v>60</v>
      </c>
      <c r="FW30" s="1">
        <v>45</v>
      </c>
      <c r="FX30" s="1">
        <v>65</v>
      </c>
      <c r="FY30" s="1">
        <v>62</v>
      </c>
      <c r="FZ30" s="3">
        <v>-7.1999999999999995E-2</v>
      </c>
      <c r="GA30" s="3">
        <v>-1.302</v>
      </c>
      <c r="GB30" s="3">
        <v>-0.214</v>
      </c>
      <c r="GC30" s="3">
        <v>1.35</v>
      </c>
      <c r="GD30" s="3">
        <v>-3.9E-2</v>
      </c>
      <c r="GE30" s="3">
        <v>0.05</v>
      </c>
      <c r="GF30" s="3">
        <v>1.1839999999999999</v>
      </c>
      <c r="GG30" s="3">
        <v>4.9000000000000002E-2</v>
      </c>
      <c r="GH30" s="3">
        <v>-1.02</v>
      </c>
      <c r="GI30" s="3">
        <v>-0.11</v>
      </c>
      <c r="GJ30" s="3">
        <v>0.42899999999999999</v>
      </c>
      <c r="GK30" s="3">
        <v>-4.2999999999999997E-2</v>
      </c>
      <c r="GL30" s="3">
        <v>-5.1999999999999998E-2</v>
      </c>
      <c r="GM30" s="3">
        <v>-1.2999999999999999E-2</v>
      </c>
      <c r="GN30" s="3">
        <v>3.625</v>
      </c>
      <c r="GO30" s="3">
        <v>-0.223</v>
      </c>
      <c r="GP30" s="3">
        <v>0.40799999999999997</v>
      </c>
      <c r="GQ30" s="3">
        <v>0.22500000000000001</v>
      </c>
      <c r="GR30" s="3">
        <v>0.6</v>
      </c>
      <c r="GS30" s="3">
        <v>-0.106</v>
      </c>
      <c r="GT30" s="3">
        <v>-0.2</v>
      </c>
      <c r="GU30" s="3">
        <v>-5.5E-2</v>
      </c>
      <c r="GV30" s="3">
        <v>-1.6E-2</v>
      </c>
      <c r="GW30" s="3">
        <v>0.29599999999999999</v>
      </c>
      <c r="GX30" s="3">
        <v>0.14799999999999999</v>
      </c>
      <c r="GY30" s="3">
        <v>1.9E-2</v>
      </c>
      <c r="GZ30" s="4">
        <v>99</v>
      </c>
      <c r="HA30" s="4">
        <v>78</v>
      </c>
      <c r="HB30" s="4">
        <v>125</v>
      </c>
      <c r="HC30" s="4">
        <v>69</v>
      </c>
      <c r="HD30" s="4">
        <v>189</v>
      </c>
      <c r="HE30" s="4">
        <v>82</v>
      </c>
      <c r="HF30" s="1">
        <v>1646</v>
      </c>
      <c r="HG30" s="1">
        <v>1761</v>
      </c>
      <c r="HH30" s="1">
        <v>2823</v>
      </c>
      <c r="HI30" s="1">
        <v>1341</v>
      </c>
      <c r="HJ30" s="1">
        <v>1385</v>
      </c>
      <c r="HK30" s="1">
        <v>1000</v>
      </c>
      <c r="HL30" s="1">
        <v>1482</v>
      </c>
      <c r="HM30" s="1">
        <v>2135</v>
      </c>
      <c r="HN30" s="1">
        <v>2827</v>
      </c>
      <c r="HO30" s="1">
        <v>3248</v>
      </c>
      <c r="HP30" s="1">
        <v>3778</v>
      </c>
      <c r="HQ30" s="1">
        <v>4385</v>
      </c>
      <c r="HR30" s="1">
        <v>3793</v>
      </c>
      <c r="HS30" s="1">
        <v>11648</v>
      </c>
      <c r="HT30" s="1">
        <v>7737</v>
      </c>
      <c r="HU30" s="1">
        <v>11891</v>
      </c>
      <c r="HV30" s="1">
        <v>8285</v>
      </c>
      <c r="HW30" s="1">
        <v>20226</v>
      </c>
      <c r="HX30" s="1">
        <v>16909</v>
      </c>
      <c r="HY30" s="1">
        <v>36461</v>
      </c>
      <c r="HZ30" s="1">
        <v>40601</v>
      </c>
      <c r="IA30" s="1">
        <v>77842</v>
      </c>
      <c r="IB30" s="1">
        <v>24367</v>
      </c>
      <c r="IC30" s="1">
        <v>8166</v>
      </c>
      <c r="ID30" s="1">
        <v>407653</v>
      </c>
      <c r="IE30" s="1">
        <v>7607</v>
      </c>
      <c r="IF30" s="1">
        <v>13118</v>
      </c>
      <c r="IG30" s="1">
        <v>22926</v>
      </c>
      <c r="IH30" s="1">
        <v>30473</v>
      </c>
      <c r="II30" s="1">
        <v>16523</v>
      </c>
      <c r="IJ30" s="1">
        <v>19084</v>
      </c>
      <c r="IK30" s="1">
        <v>16500</v>
      </c>
      <c r="IL30" s="1">
        <v>23410</v>
      </c>
      <c r="IM30" s="1">
        <v>23860</v>
      </c>
      <c r="IN30" s="1">
        <v>35327</v>
      </c>
      <c r="IO30" s="1">
        <v>35590</v>
      </c>
      <c r="IP30" s="1">
        <v>45909</v>
      </c>
      <c r="IQ30" s="1">
        <v>47078</v>
      </c>
      <c r="IR30" s="1">
        <v>57001</v>
      </c>
      <c r="IS30" s="1">
        <v>46985</v>
      </c>
      <c r="IT30" s="1">
        <v>124717</v>
      </c>
      <c r="IU30" s="1">
        <v>122639</v>
      </c>
      <c r="IV30" s="1">
        <v>233872</v>
      </c>
      <c r="IW30">
        <v>120111</v>
      </c>
      <c r="IX30">
        <v>96020</v>
      </c>
      <c r="IY30">
        <v>26646</v>
      </c>
      <c r="IZ30">
        <v>27538</v>
      </c>
      <c r="JA30">
        <v>923</v>
      </c>
      <c r="JB30">
        <v>59924</v>
      </c>
      <c r="JC30">
        <v>50333</v>
      </c>
      <c r="JD30">
        <v>78823</v>
      </c>
      <c r="JE30">
        <v>34809</v>
      </c>
      <c r="JF30">
        <v>7191</v>
      </c>
      <c r="JG30">
        <v>5422</v>
      </c>
      <c r="JH30">
        <v>15765</v>
      </c>
      <c r="JI30">
        <v>39236</v>
      </c>
      <c r="JJ30">
        <v>658</v>
      </c>
      <c r="JK30">
        <v>173</v>
      </c>
      <c r="JL30">
        <v>35610</v>
      </c>
      <c r="JM30">
        <v>23518</v>
      </c>
      <c r="JN30">
        <v>131925</v>
      </c>
      <c r="JO30">
        <v>166625</v>
      </c>
      <c r="JP30">
        <v>129123</v>
      </c>
      <c r="JQ30">
        <v>106351</v>
      </c>
      <c r="JR30">
        <v>265380</v>
      </c>
      <c r="JS30">
        <v>335581</v>
      </c>
      <c r="JT30">
        <v>3097</v>
      </c>
      <c r="JU30">
        <v>1081</v>
      </c>
      <c r="JV30">
        <v>41791</v>
      </c>
      <c r="JW30">
        <v>39605</v>
      </c>
      <c r="JX30">
        <v>62106</v>
      </c>
      <c r="JY30">
        <v>71219</v>
      </c>
      <c r="JZ30">
        <v>122176</v>
      </c>
      <c r="KA30">
        <v>176008</v>
      </c>
      <c r="KB30">
        <v>198177</v>
      </c>
      <c r="KC30">
        <v>165419</v>
      </c>
      <c r="KD30">
        <v>614124</v>
      </c>
      <c r="KE30">
        <v>2656</v>
      </c>
      <c r="KF30">
        <v>290</v>
      </c>
      <c r="KG30">
        <v>114949</v>
      </c>
      <c r="KH30">
        <v>92054</v>
      </c>
      <c r="KI30">
        <v>46669</v>
      </c>
      <c r="KJ30">
        <v>201079</v>
      </c>
      <c r="KK30">
        <v>115286</v>
      </c>
      <c r="KL30">
        <v>6015</v>
      </c>
      <c r="KM30">
        <v>43534</v>
      </c>
      <c r="KN30">
        <v>79641</v>
      </c>
      <c r="KO30">
        <v>51975</v>
      </c>
      <c r="KP30">
        <v>96646</v>
      </c>
      <c r="KQ30">
        <v>908</v>
      </c>
      <c r="KR30">
        <v>84148</v>
      </c>
      <c r="KS30">
        <v>139724</v>
      </c>
      <c r="KT30">
        <v>319829</v>
      </c>
      <c r="KU30">
        <v>36621</v>
      </c>
      <c r="KV30">
        <v>178659</v>
      </c>
      <c r="KW30">
        <v>129459</v>
      </c>
      <c r="KX30">
        <v>65155</v>
      </c>
      <c r="KY30">
        <v>1254879</v>
      </c>
      <c r="KZ30">
        <v>41163</v>
      </c>
      <c r="LA30">
        <v>148830</v>
      </c>
      <c r="LB30">
        <v>176375</v>
      </c>
      <c r="LC30">
        <v>38574</v>
      </c>
      <c r="LD30">
        <v>31445</v>
      </c>
      <c r="LE30">
        <v>112693</v>
      </c>
      <c r="LF30">
        <v>1338</v>
      </c>
      <c r="LG30">
        <v>599996</v>
      </c>
      <c r="LH30">
        <v>161996</v>
      </c>
      <c r="LI30">
        <v>316921</v>
      </c>
      <c r="LJ30">
        <v>87129</v>
      </c>
      <c r="LK30">
        <v>140203</v>
      </c>
      <c r="LL30">
        <v>72181</v>
      </c>
      <c r="LM30">
        <v>70685</v>
      </c>
      <c r="LN30">
        <v>10915</v>
      </c>
      <c r="LO30">
        <v>30599</v>
      </c>
      <c r="LP30">
        <v>68.404510000000002</v>
      </c>
      <c r="LQ30">
        <v>64675.749709999996</v>
      </c>
    </row>
    <row r="31" spans="1:329" x14ac:dyDescent="0.25">
      <c r="A31" s="5" t="s">
        <v>353</v>
      </c>
      <c r="B31" s="5" t="s">
        <v>286</v>
      </c>
      <c r="C31" s="1">
        <v>3950708</v>
      </c>
      <c r="D31" s="1">
        <v>3725596</v>
      </c>
      <c r="E31" s="1">
        <v>3414946</v>
      </c>
      <c r="F31" s="1">
        <v>3554402</v>
      </c>
      <c r="G31" s="1">
        <v>3644769</v>
      </c>
      <c r="H31" s="1">
        <v>1352671</v>
      </c>
      <c r="I31" s="1">
        <v>1308387</v>
      </c>
      <c r="J31" s="1">
        <v>1245589</v>
      </c>
      <c r="K31" s="1">
        <v>1339131</v>
      </c>
      <c r="L31" s="1">
        <v>1400764</v>
      </c>
      <c r="M31" s="1">
        <v>1465396</v>
      </c>
      <c r="N31" s="1">
        <v>641176</v>
      </c>
      <c r="O31" s="1">
        <v>697955</v>
      </c>
      <c r="P31" s="1">
        <v>126265</v>
      </c>
      <c r="Q31" s="1">
        <v>219194</v>
      </c>
      <c r="R31" s="1">
        <v>2776</v>
      </c>
      <c r="S31" s="1">
        <v>20</v>
      </c>
      <c r="T31" s="1">
        <v>2925610</v>
      </c>
      <c r="U31" s="1">
        <v>586929</v>
      </c>
      <c r="V31" s="1">
        <v>41863</v>
      </c>
      <c r="W31" s="1">
        <v>2052</v>
      </c>
      <c r="X31" s="1">
        <v>0</v>
      </c>
      <c r="Y31" s="2">
        <v>35.5</v>
      </c>
      <c r="Z31" s="1">
        <v>237002</v>
      </c>
      <c r="AA31" s="1">
        <v>235726</v>
      </c>
      <c r="AB31" s="1">
        <v>234493</v>
      </c>
      <c r="AC31" s="1">
        <v>226779</v>
      </c>
      <c r="AD31" s="1">
        <v>235231</v>
      </c>
      <c r="AE31" s="1">
        <v>283785</v>
      </c>
      <c r="AF31" s="1">
        <v>254268</v>
      </c>
      <c r="AG31" s="1">
        <v>232445</v>
      </c>
      <c r="AH31" s="1">
        <v>206001</v>
      </c>
      <c r="AI31" s="1">
        <v>216103</v>
      </c>
      <c r="AJ31" s="1">
        <v>224662</v>
      </c>
      <c r="AK31" s="1">
        <v>237683</v>
      </c>
      <c r="AL31" s="1">
        <v>218235</v>
      </c>
      <c r="AM31" s="1">
        <v>174306</v>
      </c>
      <c r="AN31" s="1">
        <v>128948</v>
      </c>
      <c r="AO31" s="1">
        <v>89515</v>
      </c>
      <c r="AP31" s="1">
        <v>59335</v>
      </c>
      <c r="AQ31" s="1">
        <v>59884</v>
      </c>
      <c r="AR31" s="1">
        <v>1629825</v>
      </c>
      <c r="AS31" s="1">
        <v>1924578</v>
      </c>
      <c r="AT31" s="1">
        <v>293760</v>
      </c>
      <c r="AU31" s="1">
        <v>2785162</v>
      </c>
      <c r="AV31" s="1">
        <v>10006</v>
      </c>
      <c r="AW31" s="1">
        <v>76526</v>
      </c>
      <c r="AX31" s="1">
        <v>1056</v>
      </c>
      <c r="AY31" s="1">
        <v>12392</v>
      </c>
      <c r="AZ31" s="1">
        <v>73748</v>
      </c>
      <c r="BA31" s="1">
        <v>301906</v>
      </c>
      <c r="BB31" s="1">
        <v>2847181</v>
      </c>
      <c r="BC31" s="1">
        <v>1526405</v>
      </c>
      <c r="BD31" s="1">
        <v>617344</v>
      </c>
      <c r="BE31" s="1">
        <v>201956</v>
      </c>
      <c r="BF31" s="1">
        <v>189212</v>
      </c>
      <c r="BG31" s="1">
        <v>312264</v>
      </c>
      <c r="BH31" s="1">
        <v>2385171</v>
      </c>
      <c r="BI31" s="1">
        <v>123636</v>
      </c>
      <c r="BJ31" s="1">
        <v>253498</v>
      </c>
      <c r="BK31" s="1">
        <v>806548</v>
      </c>
      <c r="BL31" s="1">
        <v>546202</v>
      </c>
      <c r="BM31" s="1">
        <v>169457</v>
      </c>
      <c r="BN31" s="1">
        <v>303021</v>
      </c>
      <c r="BO31" s="1">
        <v>182809</v>
      </c>
      <c r="BP31" s="1">
        <v>2807036</v>
      </c>
      <c r="BQ31" s="1">
        <v>3104</v>
      </c>
      <c r="BR31" s="1">
        <v>1568819</v>
      </c>
      <c r="BS31" s="1">
        <v>119024</v>
      </c>
      <c r="BT31" s="1">
        <v>1116089</v>
      </c>
      <c r="BU31" s="1">
        <v>855543</v>
      </c>
      <c r="BV31" s="1">
        <v>483588</v>
      </c>
      <c r="BW31" s="1">
        <v>146408</v>
      </c>
      <c r="BX31" s="1">
        <v>46913</v>
      </c>
      <c r="BY31" s="1">
        <v>282167</v>
      </c>
      <c r="BZ31" s="1">
        <v>181133</v>
      </c>
      <c r="CA31" s="1">
        <v>46612</v>
      </c>
      <c r="CB31" s="1">
        <v>151941</v>
      </c>
      <c r="CC31" s="2">
        <v>2.62</v>
      </c>
      <c r="CD31" s="1">
        <v>408180</v>
      </c>
      <c r="CE31" s="1">
        <v>359470</v>
      </c>
      <c r="CF31" s="1">
        <v>228366</v>
      </c>
      <c r="CG31" s="1">
        <v>159608</v>
      </c>
      <c r="CH31" s="1">
        <v>93589</v>
      </c>
      <c r="CI31" s="1">
        <v>45394</v>
      </c>
      <c r="CJ31" s="1">
        <v>44524</v>
      </c>
      <c r="CK31" s="2">
        <v>51</v>
      </c>
      <c r="CL31" s="1">
        <v>48368</v>
      </c>
      <c r="CM31" s="1">
        <v>226425</v>
      </c>
      <c r="CN31" s="1">
        <v>226513</v>
      </c>
      <c r="CO31" s="1">
        <v>240377</v>
      </c>
      <c r="CP31" s="1">
        <v>269225</v>
      </c>
      <c r="CQ31" s="1">
        <v>193007</v>
      </c>
      <c r="CR31" s="1">
        <v>97488</v>
      </c>
      <c r="CS31" s="1">
        <v>37729</v>
      </c>
      <c r="CT31" s="1">
        <v>385881</v>
      </c>
      <c r="CU31" s="1">
        <v>557528</v>
      </c>
      <c r="CV31" s="1">
        <v>395723</v>
      </c>
      <c r="CW31" s="1">
        <v>21861</v>
      </c>
      <c r="CX31" s="1">
        <v>43434</v>
      </c>
      <c r="CY31" s="1">
        <v>54035</v>
      </c>
      <c r="CZ31" s="1">
        <v>181147</v>
      </c>
      <c r="DA31" s="1">
        <v>82700</v>
      </c>
      <c r="DB31" s="1">
        <v>83329</v>
      </c>
      <c r="DC31" s="1">
        <v>82780</v>
      </c>
      <c r="DD31" s="1">
        <v>68732</v>
      </c>
      <c r="DE31" s="1">
        <v>65419</v>
      </c>
      <c r="DF31" s="1">
        <v>63006</v>
      </c>
      <c r="DG31" s="1">
        <v>61794</v>
      </c>
      <c r="DH31" s="1">
        <v>55303</v>
      </c>
      <c r="DI31" s="1">
        <v>98083</v>
      </c>
      <c r="DJ31" s="1">
        <v>123130</v>
      </c>
      <c r="DK31" s="1">
        <v>152055</v>
      </c>
      <c r="DL31" s="1">
        <v>76716</v>
      </c>
      <c r="DM31" s="1">
        <v>57205</v>
      </c>
      <c r="DN31" s="1">
        <v>53915</v>
      </c>
      <c r="DO31" s="1">
        <v>33822</v>
      </c>
      <c r="DP31" s="1">
        <v>23870</v>
      </c>
      <c r="DQ31" s="1">
        <v>45370</v>
      </c>
      <c r="DR31" s="1">
        <v>51523</v>
      </c>
      <c r="DS31" s="1">
        <v>51093</v>
      </c>
      <c r="DT31" s="1">
        <v>45896</v>
      </c>
      <c r="DU31" s="1">
        <v>38379</v>
      </c>
      <c r="DV31" s="1">
        <v>29836</v>
      </c>
      <c r="DW31" s="2">
        <v>47752.3</v>
      </c>
      <c r="DX31" s="2">
        <v>22447.919999999998</v>
      </c>
      <c r="DY31" s="2">
        <v>1467.08</v>
      </c>
      <c r="DZ31" s="2">
        <v>314.33</v>
      </c>
      <c r="EA31" s="2">
        <v>1680.92</v>
      </c>
      <c r="EB31" s="2">
        <v>1380.83</v>
      </c>
      <c r="EC31" s="2">
        <v>2629</v>
      </c>
      <c r="ED31" s="2">
        <v>7155.22</v>
      </c>
      <c r="EE31" s="2">
        <v>4087.66</v>
      </c>
      <c r="EF31" s="2">
        <v>1636.69</v>
      </c>
      <c r="EG31" s="2">
        <v>10232.879999999999</v>
      </c>
      <c r="EH31" s="2">
        <v>1844.66</v>
      </c>
      <c r="EI31" s="2">
        <v>899.27</v>
      </c>
      <c r="EJ31" s="2">
        <v>641.75</v>
      </c>
      <c r="EK31" s="2">
        <v>102.66</v>
      </c>
      <c r="EL31" s="2">
        <v>324.77999999999997</v>
      </c>
      <c r="EM31" s="2">
        <v>8570.09</v>
      </c>
      <c r="EN31" s="2">
        <v>3680.49</v>
      </c>
      <c r="EO31" s="2">
        <v>1103.99</v>
      </c>
      <c r="EP31" s="1">
        <v>26547</v>
      </c>
      <c r="EQ31" s="1">
        <v>3392</v>
      </c>
      <c r="ER31" s="1">
        <v>820</v>
      </c>
      <c r="ES31" s="1">
        <v>4650</v>
      </c>
      <c r="ET31" s="1">
        <v>24619</v>
      </c>
      <c r="EU31" s="1">
        <v>40861</v>
      </c>
      <c r="EV31" s="1">
        <v>78768</v>
      </c>
      <c r="EW31" s="1">
        <v>5325</v>
      </c>
      <c r="EX31" s="1">
        <v>15062</v>
      </c>
      <c r="EY31" s="1">
        <v>2151</v>
      </c>
      <c r="EZ31" s="1">
        <v>201315</v>
      </c>
      <c r="FA31" s="1">
        <v>16387</v>
      </c>
      <c r="FB31" s="1">
        <v>123825</v>
      </c>
      <c r="FC31" s="1">
        <v>28203</v>
      </c>
      <c r="FD31" s="1">
        <v>13143</v>
      </c>
      <c r="FE31" s="1">
        <v>68074</v>
      </c>
      <c r="FF31" s="1">
        <v>3192</v>
      </c>
      <c r="FG31" s="1">
        <v>262856</v>
      </c>
      <c r="FH31" s="1">
        <v>52277</v>
      </c>
      <c r="FI31" s="1">
        <v>12649</v>
      </c>
      <c r="FJ31" s="1">
        <v>479</v>
      </c>
      <c r="FK31" s="1">
        <v>2041</v>
      </c>
      <c r="FL31" s="1">
        <v>4780</v>
      </c>
      <c r="FM31" s="1">
        <v>987</v>
      </c>
      <c r="FN31" s="1">
        <v>66570</v>
      </c>
      <c r="FO31" s="1">
        <v>399059</v>
      </c>
      <c r="FP31" s="1">
        <v>168</v>
      </c>
      <c r="FQ31" s="1">
        <v>364</v>
      </c>
      <c r="FR31" s="1">
        <v>607</v>
      </c>
      <c r="FS31" s="1">
        <v>168</v>
      </c>
      <c r="FT31" s="1">
        <v>520</v>
      </c>
      <c r="FU31" s="1">
        <v>322</v>
      </c>
      <c r="FV31" s="1">
        <v>138</v>
      </c>
      <c r="FW31" s="1">
        <v>171</v>
      </c>
      <c r="FX31" s="1">
        <v>119</v>
      </c>
      <c r="FY31" s="1">
        <v>217</v>
      </c>
      <c r="FZ31" s="3">
        <v>-0.29599999999999999</v>
      </c>
      <c r="GA31" s="3">
        <v>-0.496</v>
      </c>
      <c r="GB31" s="3">
        <v>-0.22500000000000001</v>
      </c>
      <c r="GC31" s="3">
        <v>-0.51300000000000001</v>
      </c>
      <c r="GD31" s="3">
        <v>0.32600000000000001</v>
      </c>
      <c r="GE31" s="3">
        <v>-2.8210000000000002</v>
      </c>
      <c r="GF31" s="3">
        <v>-0.45500000000000002</v>
      </c>
      <c r="GG31" s="3">
        <v>0.49399999999999999</v>
      </c>
      <c r="GH31" s="3">
        <v>-0.67600000000000005</v>
      </c>
      <c r="GI31" s="3">
        <v>-0.105</v>
      </c>
      <c r="GJ31" s="3">
        <v>0.17899999999999999</v>
      </c>
      <c r="GK31" s="3">
        <v>8.5999999999999993E-2</v>
      </c>
      <c r="GL31" s="3">
        <v>-0.16700000000000001</v>
      </c>
      <c r="GM31" s="3">
        <v>-6.3E-2</v>
      </c>
      <c r="GN31" s="3">
        <v>1.018</v>
      </c>
      <c r="GO31" s="3">
        <v>-0.36899999999999999</v>
      </c>
      <c r="GP31" s="3">
        <v>-0.29499999999999998</v>
      </c>
      <c r="GQ31" s="3">
        <v>-0.14299999999999999</v>
      </c>
      <c r="GR31" s="3">
        <v>0.63400000000000001</v>
      </c>
      <c r="GS31" s="3">
        <v>-0.23400000000000001</v>
      </c>
      <c r="GT31" s="3">
        <v>-7.2999999999999995E-2</v>
      </c>
      <c r="GU31" s="3">
        <v>-0.223</v>
      </c>
      <c r="GV31" s="3">
        <v>8.0000000000000002E-3</v>
      </c>
      <c r="GW31" s="3">
        <v>0.45800000000000002</v>
      </c>
      <c r="GX31" s="3">
        <v>2.1999999999999999E-2</v>
      </c>
      <c r="GY31" s="3">
        <v>3.2000000000000001E-2</v>
      </c>
      <c r="GZ31" s="4">
        <v>94</v>
      </c>
      <c r="HA31" s="4">
        <v>84</v>
      </c>
      <c r="HB31" s="4">
        <v>116</v>
      </c>
      <c r="HC31" s="4">
        <v>41</v>
      </c>
      <c r="HD31" s="4">
        <v>165</v>
      </c>
      <c r="HE31" s="4">
        <v>93</v>
      </c>
      <c r="HF31" s="1">
        <v>4151</v>
      </c>
      <c r="HG31" s="1">
        <v>4892</v>
      </c>
      <c r="HH31" s="1">
        <v>4561</v>
      </c>
      <c r="HI31" s="1">
        <v>4496</v>
      </c>
      <c r="HJ31" s="1">
        <v>4780</v>
      </c>
      <c r="HK31" s="1">
        <v>5737</v>
      </c>
      <c r="HL31" s="1">
        <v>4643</v>
      </c>
      <c r="HM31" s="1">
        <v>12265</v>
      </c>
      <c r="HN31" s="1">
        <v>14351</v>
      </c>
      <c r="HO31" s="1">
        <v>18839</v>
      </c>
      <c r="HP31" s="1">
        <v>22154</v>
      </c>
      <c r="HQ31" s="1">
        <v>26738</v>
      </c>
      <c r="HR31" s="1">
        <v>24227</v>
      </c>
      <c r="HS31" s="1">
        <v>60547</v>
      </c>
      <c r="HT31" s="1">
        <v>45321</v>
      </c>
      <c r="HU31" s="1">
        <v>61145</v>
      </c>
      <c r="HV31" s="1">
        <v>40338</v>
      </c>
      <c r="HW31" s="1">
        <v>63339</v>
      </c>
      <c r="HX31" s="1">
        <v>51040</v>
      </c>
      <c r="HY31" s="1">
        <v>63112</v>
      </c>
      <c r="HZ31" s="1">
        <v>33684</v>
      </c>
      <c r="IA31" s="1">
        <v>27438</v>
      </c>
      <c r="IB31" s="1">
        <v>6036</v>
      </c>
      <c r="IC31" s="1">
        <v>5495</v>
      </c>
      <c r="ID31" s="1">
        <v>169200</v>
      </c>
      <c r="IE31" s="1">
        <v>13060</v>
      </c>
      <c r="IF31" s="1">
        <v>11157</v>
      </c>
      <c r="IG31" s="1">
        <v>14233</v>
      </c>
      <c r="IH31" s="1">
        <v>12803</v>
      </c>
      <c r="II31" s="1">
        <v>9852</v>
      </c>
      <c r="IJ31" s="1">
        <v>14009</v>
      </c>
      <c r="IK31" s="1">
        <v>14763</v>
      </c>
      <c r="IL31" s="1">
        <v>22804</v>
      </c>
      <c r="IM31" s="1">
        <v>23519</v>
      </c>
      <c r="IN31" s="1">
        <v>36983</v>
      </c>
      <c r="IO31" s="1">
        <v>33665</v>
      </c>
      <c r="IP31" s="1">
        <v>44525</v>
      </c>
      <c r="IQ31" s="1">
        <v>41531</v>
      </c>
      <c r="IR31" s="1">
        <v>42513</v>
      </c>
      <c r="IS31" s="1">
        <v>38067</v>
      </c>
      <c r="IT31" s="1">
        <v>67906</v>
      </c>
      <c r="IU31" s="1">
        <v>47558</v>
      </c>
      <c r="IV31" s="1">
        <v>63815</v>
      </c>
      <c r="IW31">
        <v>27538</v>
      </c>
      <c r="IX31">
        <v>20690</v>
      </c>
      <c r="IY31">
        <v>6452</v>
      </c>
      <c r="IZ31">
        <v>24523</v>
      </c>
      <c r="JA31">
        <v>711</v>
      </c>
      <c r="JB31">
        <v>333708</v>
      </c>
      <c r="JC31">
        <v>218186</v>
      </c>
      <c r="JD31">
        <v>44854</v>
      </c>
      <c r="JE31">
        <v>14906</v>
      </c>
      <c r="JF31">
        <v>4946</v>
      </c>
      <c r="JG31">
        <v>4037</v>
      </c>
      <c r="JH31">
        <v>2824</v>
      </c>
      <c r="JI31">
        <v>2142</v>
      </c>
      <c r="JJ31">
        <v>3714</v>
      </c>
      <c r="JK31">
        <v>226</v>
      </c>
      <c r="JL31">
        <v>82104</v>
      </c>
      <c r="JM31">
        <v>120374</v>
      </c>
      <c r="JN31">
        <v>108329</v>
      </c>
      <c r="JO31">
        <v>109136</v>
      </c>
      <c r="JP31">
        <v>77546</v>
      </c>
      <c r="JQ31">
        <v>57527</v>
      </c>
      <c r="JR31">
        <v>36119</v>
      </c>
      <c r="JS31">
        <v>42786</v>
      </c>
      <c r="JT31">
        <v>2802</v>
      </c>
      <c r="JU31">
        <v>208</v>
      </c>
      <c r="JV31">
        <v>38443</v>
      </c>
      <c r="JW31">
        <v>43382</v>
      </c>
      <c r="JX31">
        <v>71312</v>
      </c>
      <c r="JY31">
        <v>77666</v>
      </c>
      <c r="JZ31">
        <v>118711</v>
      </c>
      <c r="KA31">
        <v>141832</v>
      </c>
      <c r="KB31">
        <v>226223</v>
      </c>
      <c r="KC31">
        <v>172574</v>
      </c>
      <c r="KD31">
        <v>376331</v>
      </c>
      <c r="KE31">
        <v>2631</v>
      </c>
      <c r="KF31">
        <v>1240</v>
      </c>
      <c r="KG31">
        <v>51755</v>
      </c>
      <c r="KH31">
        <v>80608</v>
      </c>
      <c r="KI31">
        <v>22141</v>
      </c>
      <c r="KJ31">
        <v>131195</v>
      </c>
      <c r="KK31">
        <v>99237</v>
      </c>
      <c r="KL31">
        <v>9352</v>
      </c>
      <c r="KM31">
        <v>27001</v>
      </c>
      <c r="KN31">
        <v>58869</v>
      </c>
      <c r="KO31">
        <v>23906</v>
      </c>
      <c r="KP31">
        <v>55733</v>
      </c>
      <c r="KQ31">
        <v>1022</v>
      </c>
      <c r="KR31">
        <v>76381</v>
      </c>
      <c r="KS31">
        <v>125604</v>
      </c>
      <c r="KT31">
        <v>271970</v>
      </c>
      <c r="KU31">
        <v>22775</v>
      </c>
      <c r="KV31">
        <v>87134</v>
      </c>
      <c r="KW31">
        <v>65748</v>
      </c>
      <c r="KX31">
        <v>116084</v>
      </c>
      <c r="KY31">
        <v>819715</v>
      </c>
      <c r="KZ31">
        <v>19497</v>
      </c>
      <c r="LA31">
        <v>147834</v>
      </c>
      <c r="LB31">
        <v>152421</v>
      </c>
      <c r="LC31">
        <v>66385</v>
      </c>
      <c r="LD31">
        <v>76244</v>
      </c>
      <c r="LE31">
        <v>47137</v>
      </c>
      <c r="LF31">
        <v>1153</v>
      </c>
      <c r="LG31">
        <v>1128958</v>
      </c>
      <c r="LH31">
        <v>12970</v>
      </c>
      <c r="LI31">
        <v>58442</v>
      </c>
      <c r="LJ31">
        <v>7368</v>
      </c>
      <c r="LK31">
        <v>30412</v>
      </c>
      <c r="LL31">
        <v>4179</v>
      </c>
      <c r="LM31">
        <v>8154</v>
      </c>
      <c r="LN31">
        <v>2095</v>
      </c>
      <c r="LO31">
        <v>13896</v>
      </c>
      <c r="LP31">
        <v>520.35175000000004</v>
      </c>
      <c r="LQ31">
        <v>7172.9652699999997</v>
      </c>
    </row>
    <row r="32" spans="1:329" x14ac:dyDescent="0.25">
      <c r="A32" s="5" t="s">
        <v>354</v>
      </c>
      <c r="B32" s="5" t="s">
        <v>287</v>
      </c>
      <c r="C32" s="1">
        <v>4718323</v>
      </c>
      <c r="D32" s="1">
        <v>5417075</v>
      </c>
      <c r="E32" s="1">
        <v>5414049</v>
      </c>
      <c r="F32" s="1">
        <v>5732695</v>
      </c>
      <c r="G32" s="1">
        <v>5862065</v>
      </c>
      <c r="H32" s="1">
        <v>1406255</v>
      </c>
      <c r="I32" s="1">
        <v>1488612</v>
      </c>
      <c r="J32" s="1">
        <v>1497194</v>
      </c>
      <c r="K32" s="1">
        <v>1620871</v>
      </c>
      <c r="L32" s="1">
        <v>1681377</v>
      </c>
      <c r="M32" s="1">
        <v>1677452</v>
      </c>
      <c r="N32" s="1">
        <v>462733</v>
      </c>
      <c r="O32" s="1">
        <v>1158138</v>
      </c>
      <c r="P32" s="1">
        <v>56581</v>
      </c>
      <c r="Q32" s="1">
        <v>130082</v>
      </c>
      <c r="R32" s="1">
        <v>5156</v>
      </c>
      <c r="S32" s="1">
        <v>234</v>
      </c>
      <c r="T32" s="1">
        <v>5065472</v>
      </c>
      <c r="U32" s="1">
        <v>586737</v>
      </c>
      <c r="V32" s="1">
        <v>80486</v>
      </c>
      <c r="W32" s="1">
        <v>2017</v>
      </c>
      <c r="X32" s="1">
        <v>5048</v>
      </c>
      <c r="Y32" s="2">
        <v>31.08</v>
      </c>
      <c r="Z32" s="1">
        <v>454361</v>
      </c>
      <c r="AA32" s="1">
        <v>432388</v>
      </c>
      <c r="AB32" s="1">
        <v>417279</v>
      </c>
      <c r="AC32" s="1">
        <v>408681</v>
      </c>
      <c r="AD32" s="1">
        <v>457221</v>
      </c>
      <c r="AE32" s="1">
        <v>506288</v>
      </c>
      <c r="AF32" s="1">
        <v>456018</v>
      </c>
      <c r="AG32" s="1">
        <v>421267</v>
      </c>
      <c r="AH32" s="1">
        <v>379422</v>
      </c>
      <c r="AI32" s="1">
        <v>361800</v>
      </c>
      <c r="AJ32" s="1">
        <v>330405</v>
      </c>
      <c r="AK32" s="1">
        <v>299606</v>
      </c>
      <c r="AL32" s="1">
        <v>244022</v>
      </c>
      <c r="AM32" s="1">
        <v>186371</v>
      </c>
      <c r="AN32" s="1">
        <v>139330</v>
      </c>
      <c r="AO32" s="1">
        <v>97098</v>
      </c>
      <c r="AP32" s="1">
        <v>67313</v>
      </c>
      <c r="AQ32" s="1">
        <v>73821</v>
      </c>
      <c r="AR32" s="1">
        <v>2927635</v>
      </c>
      <c r="AS32" s="1">
        <v>2805059</v>
      </c>
      <c r="AT32" s="1">
        <v>496682</v>
      </c>
      <c r="AU32" s="1">
        <v>377035</v>
      </c>
      <c r="AV32" s="1">
        <v>10703</v>
      </c>
      <c r="AW32" s="1">
        <v>252037</v>
      </c>
      <c r="AX32" s="1">
        <v>6328</v>
      </c>
      <c r="AY32" s="1">
        <v>30949</v>
      </c>
      <c r="AZ32" s="1">
        <v>44036</v>
      </c>
      <c r="BA32" s="1">
        <v>4514944</v>
      </c>
      <c r="BB32" s="1">
        <v>4428667</v>
      </c>
      <c r="BC32" s="1">
        <v>2024328</v>
      </c>
      <c r="BD32" s="1">
        <v>1449880</v>
      </c>
      <c r="BE32" s="1">
        <v>407029</v>
      </c>
      <c r="BF32" s="1">
        <v>186389</v>
      </c>
      <c r="BG32" s="1">
        <v>361041</v>
      </c>
      <c r="BH32" s="1">
        <v>3562764</v>
      </c>
      <c r="BI32" s="1">
        <v>848905</v>
      </c>
      <c r="BJ32" s="1">
        <v>498886</v>
      </c>
      <c r="BK32" s="1">
        <v>990375</v>
      </c>
      <c r="BL32" s="1">
        <v>534331</v>
      </c>
      <c r="BM32" s="1">
        <v>185550</v>
      </c>
      <c r="BN32" s="1">
        <v>359412</v>
      </c>
      <c r="BO32" s="1">
        <v>145305</v>
      </c>
      <c r="BP32" s="1">
        <v>4352855</v>
      </c>
      <c r="BQ32" s="1">
        <v>5647</v>
      </c>
      <c r="BR32" s="1">
        <v>2689150</v>
      </c>
      <c r="BS32" s="1">
        <v>135046</v>
      </c>
      <c r="BT32" s="1">
        <v>1523012</v>
      </c>
      <c r="BU32" s="1">
        <v>1221909</v>
      </c>
      <c r="BV32" s="1">
        <v>398962</v>
      </c>
      <c r="BW32" s="1">
        <v>442376</v>
      </c>
      <c r="BX32" s="1">
        <v>98691</v>
      </c>
      <c r="BY32" s="1">
        <v>234823</v>
      </c>
      <c r="BZ32" s="1">
        <v>267109</v>
      </c>
      <c r="CA32" s="1">
        <v>69033</v>
      </c>
      <c r="CB32" s="1">
        <v>109364</v>
      </c>
      <c r="CC32" s="2">
        <v>3.49</v>
      </c>
      <c r="CD32" s="1">
        <v>287266</v>
      </c>
      <c r="CE32" s="1">
        <v>316921</v>
      </c>
      <c r="CF32" s="1">
        <v>271326</v>
      </c>
      <c r="CG32" s="1">
        <v>271224</v>
      </c>
      <c r="CH32" s="1">
        <v>203092</v>
      </c>
      <c r="CI32" s="1">
        <v>118508</v>
      </c>
      <c r="CJ32" s="1">
        <v>152534</v>
      </c>
      <c r="CK32" s="2">
        <v>46.64</v>
      </c>
      <c r="CL32" s="1">
        <v>66614</v>
      </c>
      <c r="CM32" s="1">
        <v>307258</v>
      </c>
      <c r="CN32" s="1">
        <v>348683</v>
      </c>
      <c r="CO32" s="1">
        <v>332727</v>
      </c>
      <c r="CP32" s="1">
        <v>273255</v>
      </c>
      <c r="CQ32" s="1">
        <v>167433</v>
      </c>
      <c r="CR32" s="1">
        <v>87452</v>
      </c>
      <c r="CS32" s="1">
        <v>37448</v>
      </c>
      <c r="CT32" s="1">
        <v>262363</v>
      </c>
      <c r="CU32" s="1">
        <v>618949</v>
      </c>
      <c r="CV32" s="1">
        <v>739559</v>
      </c>
      <c r="CW32" s="1">
        <v>15876</v>
      </c>
      <c r="CX32" s="1">
        <v>43541</v>
      </c>
      <c r="CY32" s="1">
        <v>47725</v>
      </c>
      <c r="CZ32" s="1">
        <v>129391</v>
      </c>
      <c r="DA32" s="1">
        <v>105445</v>
      </c>
      <c r="DB32" s="1">
        <v>108455</v>
      </c>
      <c r="DC32" s="1">
        <v>118429</v>
      </c>
      <c r="DD32" s="1">
        <v>98346</v>
      </c>
      <c r="DE32" s="1">
        <v>95470</v>
      </c>
      <c r="DF32" s="1">
        <v>91677</v>
      </c>
      <c r="DG32" s="1">
        <v>89259</v>
      </c>
      <c r="DH32" s="1">
        <v>79158</v>
      </c>
      <c r="DI32" s="1">
        <v>139303</v>
      </c>
      <c r="DJ32" s="1">
        <v>161785</v>
      </c>
      <c r="DK32" s="1">
        <v>179262</v>
      </c>
      <c r="DL32" s="1">
        <v>83379</v>
      </c>
      <c r="DM32" s="1">
        <v>57288</v>
      </c>
      <c r="DN32" s="1">
        <v>50817</v>
      </c>
      <c r="DO32" s="1">
        <v>33409</v>
      </c>
      <c r="DP32" s="1">
        <v>31048</v>
      </c>
      <c r="DQ32" s="1">
        <v>45627</v>
      </c>
      <c r="DR32" s="1">
        <v>48620</v>
      </c>
      <c r="DS32" s="1">
        <v>48822</v>
      </c>
      <c r="DT32" s="1">
        <v>43347</v>
      </c>
      <c r="DU32" s="1">
        <v>38496</v>
      </c>
      <c r="DV32" s="1">
        <v>29809</v>
      </c>
      <c r="DW32" s="2">
        <v>46683.3</v>
      </c>
      <c r="DX32" s="2">
        <v>22041.85</v>
      </c>
      <c r="DY32" s="2">
        <v>1383.83</v>
      </c>
      <c r="DZ32" s="2">
        <v>297.35000000000002</v>
      </c>
      <c r="EA32" s="2">
        <v>1661.83</v>
      </c>
      <c r="EB32" s="2">
        <v>1304.3399999999999</v>
      </c>
      <c r="EC32" s="2">
        <v>2543</v>
      </c>
      <c r="ED32" s="2">
        <v>7057.28</v>
      </c>
      <c r="EE32" s="2">
        <v>3934.42</v>
      </c>
      <c r="EF32" s="2">
        <v>1576.98</v>
      </c>
      <c r="EG32" s="2">
        <v>10063.450000000001</v>
      </c>
      <c r="EH32" s="2">
        <v>1779.12</v>
      </c>
      <c r="EI32" s="2">
        <v>861.38</v>
      </c>
      <c r="EJ32" s="2">
        <v>623.63</v>
      </c>
      <c r="EK32" s="2">
        <v>97.7</v>
      </c>
      <c r="EL32" s="2">
        <v>327.39999999999998</v>
      </c>
      <c r="EM32" s="2">
        <v>8488.5300000000007</v>
      </c>
      <c r="EN32" s="2">
        <v>3634.72</v>
      </c>
      <c r="EO32" s="2">
        <v>1048.3399999999999</v>
      </c>
      <c r="EP32" s="1">
        <v>23051</v>
      </c>
      <c r="EQ32" s="1">
        <v>3461</v>
      </c>
      <c r="ER32" s="1">
        <v>522</v>
      </c>
      <c r="ES32" s="1">
        <v>4405</v>
      </c>
      <c r="ET32" s="1">
        <v>21612</v>
      </c>
      <c r="EU32" s="1">
        <v>32108</v>
      </c>
      <c r="EV32" s="1">
        <v>64784</v>
      </c>
      <c r="EW32" s="1">
        <v>3880</v>
      </c>
      <c r="EX32" s="1">
        <v>15451</v>
      </c>
      <c r="EY32" s="1">
        <v>3063</v>
      </c>
      <c r="EZ32" s="1">
        <v>172210</v>
      </c>
      <c r="FA32" s="1">
        <v>17055</v>
      </c>
      <c r="FB32" s="1">
        <v>104363</v>
      </c>
      <c r="FC32" s="1">
        <v>30478</v>
      </c>
      <c r="FD32" s="1">
        <v>17087</v>
      </c>
      <c r="FE32" s="1">
        <v>71473</v>
      </c>
      <c r="FF32" s="1">
        <v>3253</v>
      </c>
      <c r="FG32" s="1">
        <v>291637</v>
      </c>
      <c r="FH32" s="1">
        <v>51243</v>
      </c>
      <c r="FI32" s="1">
        <v>12908</v>
      </c>
      <c r="FJ32" s="1">
        <v>362</v>
      </c>
      <c r="FK32" s="1">
        <v>2199</v>
      </c>
      <c r="FL32" s="1">
        <v>5869</v>
      </c>
      <c r="FM32" s="1">
        <v>888</v>
      </c>
      <c r="FN32" s="1">
        <v>75788</v>
      </c>
      <c r="FO32" s="1">
        <v>387934</v>
      </c>
      <c r="FP32" s="1">
        <v>119</v>
      </c>
      <c r="FQ32" s="1">
        <v>171</v>
      </c>
      <c r="FR32" s="1">
        <v>165</v>
      </c>
      <c r="FS32" s="1">
        <v>87</v>
      </c>
      <c r="FT32" s="1">
        <v>225</v>
      </c>
      <c r="FU32" s="1">
        <v>161</v>
      </c>
      <c r="FV32" s="1">
        <v>111</v>
      </c>
      <c r="FW32" s="1">
        <v>113</v>
      </c>
      <c r="FX32" s="1">
        <v>92</v>
      </c>
      <c r="FY32" s="1">
        <v>259</v>
      </c>
      <c r="FZ32" s="3">
        <v>-0.58599999999999997</v>
      </c>
      <c r="GA32" s="3">
        <v>-0.157</v>
      </c>
      <c r="GB32" s="3">
        <v>-0.78</v>
      </c>
      <c r="GC32" s="3">
        <v>3.2389999999999999</v>
      </c>
      <c r="GD32" s="3">
        <v>0.39700000000000002</v>
      </c>
      <c r="GE32" s="3">
        <v>0.34200000000000003</v>
      </c>
      <c r="GF32" s="3">
        <v>-0.183</v>
      </c>
      <c r="GG32" s="3">
        <v>-0.46200000000000002</v>
      </c>
      <c r="GH32" s="3">
        <v>-0.13200000000000001</v>
      </c>
      <c r="GI32" s="3">
        <v>-0.46200000000000002</v>
      </c>
      <c r="GJ32" s="3">
        <v>0.435</v>
      </c>
      <c r="GK32" s="3">
        <v>8.1000000000000003E-2</v>
      </c>
      <c r="GL32" s="3">
        <v>-0.40799999999999997</v>
      </c>
      <c r="GM32" s="3">
        <v>0.19600000000000001</v>
      </c>
      <c r="GN32" s="3">
        <v>0.20399999999999999</v>
      </c>
      <c r="GO32" s="3">
        <v>2.5999999999999999E-2</v>
      </c>
      <c r="GP32" s="3">
        <v>0.19800000000000001</v>
      </c>
      <c r="GQ32" s="3">
        <v>-0.25700000000000001</v>
      </c>
      <c r="GR32" s="3">
        <v>-0.30199999999999999</v>
      </c>
      <c r="GS32" s="3">
        <v>-0.24399999999999999</v>
      </c>
      <c r="GT32" s="3">
        <v>-0.25700000000000001</v>
      </c>
      <c r="GU32" s="3">
        <v>-0.61</v>
      </c>
      <c r="GV32" s="3">
        <v>0.33100000000000002</v>
      </c>
      <c r="GW32" s="3">
        <v>8.0000000000000002E-3</v>
      </c>
      <c r="GX32" s="3">
        <v>6.0999999999999999E-2</v>
      </c>
      <c r="GY32" s="3">
        <v>0.11799999999999999</v>
      </c>
      <c r="GZ32" s="4">
        <v>95</v>
      </c>
      <c r="HA32" s="4">
        <v>78</v>
      </c>
      <c r="HB32" s="4">
        <v>111</v>
      </c>
      <c r="HC32" s="4">
        <v>64</v>
      </c>
      <c r="HD32" s="4">
        <v>157</v>
      </c>
      <c r="HE32" s="4">
        <v>110</v>
      </c>
      <c r="HF32" s="1">
        <v>4298</v>
      </c>
      <c r="HG32" s="1">
        <v>2262</v>
      </c>
      <c r="HH32" s="1">
        <v>2117</v>
      </c>
      <c r="HI32" s="1">
        <v>2153</v>
      </c>
      <c r="HJ32" s="1">
        <v>2493</v>
      </c>
      <c r="HK32" s="1">
        <v>2183</v>
      </c>
      <c r="HL32" s="1">
        <v>2226</v>
      </c>
      <c r="HM32" s="1">
        <v>4128</v>
      </c>
      <c r="HN32" s="1">
        <v>5187</v>
      </c>
      <c r="HO32" s="1">
        <v>6281</v>
      </c>
      <c r="HP32" s="1">
        <v>8104</v>
      </c>
      <c r="HQ32" s="1">
        <v>9756</v>
      </c>
      <c r="HR32" s="1">
        <v>8125</v>
      </c>
      <c r="HS32" s="1">
        <v>29216</v>
      </c>
      <c r="HT32" s="1">
        <v>21543</v>
      </c>
      <c r="HU32" s="1">
        <v>36043</v>
      </c>
      <c r="HV32" s="1">
        <v>24257</v>
      </c>
      <c r="HW32" s="1">
        <v>52514</v>
      </c>
      <c r="HX32" s="1">
        <v>44780</v>
      </c>
      <c r="HY32" s="1">
        <v>69508</v>
      </c>
      <c r="HZ32" s="1">
        <v>40151</v>
      </c>
      <c r="IA32" s="1">
        <v>39801</v>
      </c>
      <c r="IB32" s="1">
        <v>10962</v>
      </c>
      <c r="IC32" s="1">
        <v>8895</v>
      </c>
      <c r="ID32" s="1">
        <v>245815</v>
      </c>
      <c r="IE32" s="1">
        <v>7360</v>
      </c>
      <c r="IF32" s="1">
        <v>10166</v>
      </c>
      <c r="IG32" s="1">
        <v>13108</v>
      </c>
      <c r="IH32" s="1">
        <v>17911</v>
      </c>
      <c r="II32" s="1">
        <v>10383</v>
      </c>
      <c r="IJ32" s="1">
        <v>14329</v>
      </c>
      <c r="IK32" s="1">
        <v>14937</v>
      </c>
      <c r="IL32" s="1">
        <v>28630</v>
      </c>
      <c r="IM32" s="1">
        <v>31873</v>
      </c>
      <c r="IN32" s="1">
        <v>47934</v>
      </c>
      <c r="IO32" s="1">
        <v>46095</v>
      </c>
      <c r="IP32" s="1">
        <v>62573</v>
      </c>
      <c r="IQ32" s="1">
        <v>56368</v>
      </c>
      <c r="IR32" s="1">
        <v>65905</v>
      </c>
      <c r="IS32" s="1">
        <v>63482</v>
      </c>
      <c r="IT32" s="1">
        <v>131388</v>
      </c>
      <c r="IU32" s="1">
        <v>106767</v>
      </c>
      <c r="IV32" s="1">
        <v>173053</v>
      </c>
      <c r="IW32">
        <v>74993</v>
      </c>
      <c r="IX32">
        <v>51060</v>
      </c>
      <c r="IY32">
        <v>14842</v>
      </c>
      <c r="IZ32">
        <v>21048</v>
      </c>
      <c r="JA32">
        <v>826</v>
      </c>
      <c r="JB32">
        <v>300037</v>
      </c>
      <c r="JC32">
        <v>46495</v>
      </c>
      <c r="JD32">
        <v>32289</v>
      </c>
      <c r="JE32">
        <v>16236</v>
      </c>
      <c r="JF32">
        <v>6852</v>
      </c>
      <c r="JG32">
        <v>7907</v>
      </c>
      <c r="JH32">
        <v>9530</v>
      </c>
      <c r="JI32">
        <v>11515</v>
      </c>
      <c r="JJ32">
        <v>14202</v>
      </c>
      <c r="JK32">
        <v>903</v>
      </c>
      <c r="JL32">
        <v>195129</v>
      </c>
      <c r="JM32">
        <v>79248</v>
      </c>
      <c r="JN32">
        <v>105423</v>
      </c>
      <c r="JO32">
        <v>168600</v>
      </c>
      <c r="JP32">
        <v>154963</v>
      </c>
      <c r="JQ32">
        <v>138155</v>
      </c>
      <c r="JR32">
        <v>126930</v>
      </c>
      <c r="JS32">
        <v>100824</v>
      </c>
      <c r="JT32">
        <v>15565</v>
      </c>
      <c r="JU32">
        <v>756</v>
      </c>
      <c r="JV32">
        <v>54658</v>
      </c>
      <c r="JW32">
        <v>61452</v>
      </c>
      <c r="JX32">
        <v>116108</v>
      </c>
      <c r="JY32">
        <v>179311</v>
      </c>
      <c r="JZ32">
        <v>247730</v>
      </c>
      <c r="KA32">
        <v>211386</v>
      </c>
      <c r="KB32">
        <v>225577</v>
      </c>
      <c r="KC32">
        <v>146883</v>
      </c>
      <c r="KD32">
        <v>288454</v>
      </c>
      <c r="KE32">
        <v>92330</v>
      </c>
      <c r="KF32">
        <v>2227</v>
      </c>
      <c r="KG32">
        <v>225508</v>
      </c>
      <c r="KH32">
        <v>298435</v>
      </c>
      <c r="KI32">
        <v>83469</v>
      </c>
      <c r="KJ32">
        <v>254179</v>
      </c>
      <c r="KK32">
        <v>109803</v>
      </c>
      <c r="KL32">
        <v>7721</v>
      </c>
      <c r="KM32">
        <v>31335</v>
      </c>
      <c r="KN32">
        <v>51960</v>
      </c>
      <c r="KO32">
        <v>35430</v>
      </c>
      <c r="KP32">
        <v>65148</v>
      </c>
      <c r="KQ32">
        <v>768</v>
      </c>
      <c r="KR32">
        <v>193419</v>
      </c>
      <c r="KS32">
        <v>104749</v>
      </c>
      <c r="KT32">
        <v>211573</v>
      </c>
      <c r="KU32">
        <v>37454</v>
      </c>
      <c r="KV32">
        <v>248810</v>
      </c>
      <c r="KW32">
        <v>163069</v>
      </c>
      <c r="KX32">
        <v>51413</v>
      </c>
      <c r="KY32">
        <v>1796092</v>
      </c>
      <c r="KZ32">
        <v>39815</v>
      </c>
      <c r="LA32">
        <v>99554</v>
      </c>
      <c r="LB32">
        <v>104649</v>
      </c>
      <c r="LC32">
        <v>40714</v>
      </c>
      <c r="LD32">
        <v>25585</v>
      </c>
      <c r="LE32">
        <v>159923</v>
      </c>
      <c r="LF32">
        <v>2468</v>
      </c>
      <c r="LG32">
        <v>313762</v>
      </c>
      <c r="LH32">
        <v>556187</v>
      </c>
      <c r="LI32">
        <v>556898</v>
      </c>
      <c r="LJ32">
        <v>13923</v>
      </c>
      <c r="LK32">
        <v>28647</v>
      </c>
      <c r="LL32">
        <v>20871</v>
      </c>
      <c r="LM32">
        <v>32440</v>
      </c>
      <c r="LN32">
        <v>2546</v>
      </c>
      <c r="LO32">
        <v>6285</v>
      </c>
      <c r="LP32">
        <v>3480.4453100000001</v>
      </c>
      <c r="LQ32">
        <v>1685.40933</v>
      </c>
    </row>
    <row r="33" spans="1:329" x14ac:dyDescent="0.25">
      <c r="A33" s="5" t="s">
        <v>355</v>
      </c>
      <c r="B33" s="5" t="s">
        <v>288</v>
      </c>
      <c r="C33" s="1">
        <v>2570587</v>
      </c>
      <c r="D33" s="1">
        <v>2782864</v>
      </c>
      <c r="E33" s="1">
        <v>2891629</v>
      </c>
      <c r="F33" s="1">
        <v>3167806</v>
      </c>
      <c r="G33" s="1">
        <v>3235091</v>
      </c>
      <c r="H33" s="1">
        <v>1218741</v>
      </c>
      <c r="I33" s="1">
        <v>1313238</v>
      </c>
      <c r="J33" s="1">
        <v>1408602</v>
      </c>
      <c r="K33" s="1">
        <v>1582168</v>
      </c>
      <c r="L33" s="1">
        <v>1635996</v>
      </c>
      <c r="M33" s="1">
        <v>1685372</v>
      </c>
      <c r="N33" s="1">
        <v>487952</v>
      </c>
      <c r="O33" s="1">
        <v>1094216</v>
      </c>
      <c r="P33" s="1">
        <v>103204</v>
      </c>
      <c r="Q33" s="1">
        <v>193420</v>
      </c>
      <c r="R33" s="1">
        <v>51293</v>
      </c>
      <c r="S33" s="1">
        <v>70</v>
      </c>
      <c r="T33" s="1">
        <v>1948115</v>
      </c>
      <c r="U33" s="1">
        <v>1086161</v>
      </c>
      <c r="V33" s="1">
        <v>133530</v>
      </c>
      <c r="W33" s="1">
        <v>7536</v>
      </c>
      <c r="X33" s="1">
        <v>333</v>
      </c>
      <c r="Y33" s="2">
        <v>40.119999999999997</v>
      </c>
      <c r="Z33" s="1">
        <v>165337</v>
      </c>
      <c r="AA33" s="1">
        <v>140352</v>
      </c>
      <c r="AB33" s="1">
        <v>131294</v>
      </c>
      <c r="AC33" s="1">
        <v>138728</v>
      </c>
      <c r="AD33" s="1">
        <v>204437</v>
      </c>
      <c r="AE33" s="1">
        <v>281085</v>
      </c>
      <c r="AF33" s="1">
        <v>260388</v>
      </c>
      <c r="AG33" s="1">
        <v>220882</v>
      </c>
      <c r="AH33" s="1">
        <v>185316</v>
      </c>
      <c r="AI33" s="1">
        <v>186215</v>
      </c>
      <c r="AJ33" s="1">
        <v>189791</v>
      </c>
      <c r="AK33" s="1">
        <v>202328</v>
      </c>
      <c r="AL33" s="1">
        <v>198779</v>
      </c>
      <c r="AM33" s="1">
        <v>179674</v>
      </c>
      <c r="AN33" s="1">
        <v>155572</v>
      </c>
      <c r="AO33" s="1">
        <v>118173</v>
      </c>
      <c r="AP33" s="1">
        <v>89172</v>
      </c>
      <c r="AQ33" s="1">
        <v>120284</v>
      </c>
      <c r="AR33" s="1">
        <v>1518480</v>
      </c>
      <c r="AS33" s="1">
        <v>1649326</v>
      </c>
      <c r="AT33" s="1">
        <v>1326490</v>
      </c>
      <c r="AU33" s="1">
        <v>669800</v>
      </c>
      <c r="AV33" s="1">
        <v>9664</v>
      </c>
      <c r="AW33" s="1">
        <v>387938</v>
      </c>
      <c r="AX33" s="1">
        <v>4747</v>
      </c>
      <c r="AY33" s="1">
        <v>10906</v>
      </c>
      <c r="AZ33" s="1">
        <v>74846</v>
      </c>
      <c r="BA33" s="1">
        <v>683558</v>
      </c>
      <c r="BB33" s="1">
        <v>2730824</v>
      </c>
      <c r="BC33" s="1">
        <v>1100967</v>
      </c>
      <c r="BD33" s="1">
        <v>865777</v>
      </c>
      <c r="BE33" s="1">
        <v>183577</v>
      </c>
      <c r="BF33" s="1">
        <v>221225</v>
      </c>
      <c r="BG33" s="1">
        <v>359278</v>
      </c>
      <c r="BH33" s="1">
        <v>2387657</v>
      </c>
      <c r="BI33" s="1">
        <v>155882</v>
      </c>
      <c r="BJ33" s="1">
        <v>165229</v>
      </c>
      <c r="BK33" s="1">
        <v>540284</v>
      </c>
      <c r="BL33" s="1">
        <v>421508</v>
      </c>
      <c r="BM33" s="1">
        <v>162417</v>
      </c>
      <c r="BN33" s="1">
        <v>545754</v>
      </c>
      <c r="BO33" s="1">
        <v>396583</v>
      </c>
      <c r="BP33" s="1">
        <v>2707406</v>
      </c>
      <c r="BQ33" s="1">
        <v>5971</v>
      </c>
      <c r="BR33" s="1">
        <v>1556391</v>
      </c>
      <c r="BS33" s="1">
        <v>59395</v>
      </c>
      <c r="BT33" s="1">
        <v>1085649</v>
      </c>
      <c r="BU33" s="1">
        <v>647528</v>
      </c>
      <c r="BV33" s="1">
        <v>934640</v>
      </c>
      <c r="BW33" s="1">
        <v>158043</v>
      </c>
      <c r="BX33" s="1">
        <v>27239</v>
      </c>
      <c r="BY33" s="1">
        <v>105462</v>
      </c>
      <c r="BZ33" s="1">
        <v>250622</v>
      </c>
      <c r="CA33" s="1">
        <v>31177</v>
      </c>
      <c r="CB33" s="1">
        <v>74799</v>
      </c>
      <c r="CC33" s="2">
        <v>1.92</v>
      </c>
      <c r="CD33" s="1">
        <v>811236</v>
      </c>
      <c r="CE33" s="1">
        <v>417996</v>
      </c>
      <c r="CF33" s="1">
        <v>163933</v>
      </c>
      <c r="CG33" s="1">
        <v>106079</v>
      </c>
      <c r="CH33" s="1">
        <v>47378</v>
      </c>
      <c r="CI33" s="1">
        <v>19612</v>
      </c>
      <c r="CJ33" s="1">
        <v>15933</v>
      </c>
      <c r="CK33" s="2">
        <v>53.21</v>
      </c>
      <c r="CL33" s="1">
        <v>48850</v>
      </c>
      <c r="CM33" s="1">
        <v>268071</v>
      </c>
      <c r="CN33" s="1">
        <v>247123</v>
      </c>
      <c r="CO33" s="1">
        <v>246452</v>
      </c>
      <c r="CP33" s="1">
        <v>283362</v>
      </c>
      <c r="CQ33" s="1">
        <v>245871</v>
      </c>
      <c r="CR33" s="1">
        <v>154176</v>
      </c>
      <c r="CS33" s="1">
        <v>88263</v>
      </c>
      <c r="CT33" s="1">
        <v>438382</v>
      </c>
      <c r="CU33" s="1">
        <v>718652</v>
      </c>
      <c r="CV33" s="1">
        <v>425133</v>
      </c>
      <c r="CW33" s="1">
        <v>38198</v>
      </c>
      <c r="CX33" s="1">
        <v>51983</v>
      </c>
      <c r="CY33" s="1">
        <v>73444</v>
      </c>
      <c r="CZ33" s="1">
        <v>161020</v>
      </c>
      <c r="DA33" s="1">
        <v>114324</v>
      </c>
      <c r="DB33" s="1">
        <v>92513</v>
      </c>
      <c r="DC33" s="1">
        <v>86418</v>
      </c>
      <c r="DD33" s="1">
        <v>68821</v>
      </c>
      <c r="DE33" s="1">
        <v>64124</v>
      </c>
      <c r="DF33" s="1">
        <v>61916</v>
      </c>
      <c r="DG33" s="1">
        <v>63259</v>
      </c>
      <c r="DH33" s="1">
        <v>57278</v>
      </c>
      <c r="DI33" s="1">
        <v>107917</v>
      </c>
      <c r="DJ33" s="1">
        <v>141313</v>
      </c>
      <c r="DK33" s="1">
        <v>183864</v>
      </c>
      <c r="DL33" s="1">
        <v>104397</v>
      </c>
      <c r="DM33" s="1">
        <v>82540</v>
      </c>
      <c r="DN33" s="1">
        <v>91207</v>
      </c>
      <c r="DO33" s="1">
        <v>101255</v>
      </c>
      <c r="DP33" s="1">
        <v>28937</v>
      </c>
      <c r="DQ33" s="1">
        <v>56609</v>
      </c>
      <c r="DR33" s="1">
        <v>62927</v>
      </c>
      <c r="DS33" s="1">
        <v>64977</v>
      </c>
      <c r="DT33" s="1">
        <v>56515</v>
      </c>
      <c r="DU33" s="1">
        <v>45915</v>
      </c>
      <c r="DV33" s="1">
        <v>34434</v>
      </c>
      <c r="DW33" s="2">
        <v>57240.15</v>
      </c>
      <c r="DX33" s="2">
        <v>26692.17</v>
      </c>
      <c r="DY33" s="2">
        <v>1851.46</v>
      </c>
      <c r="DZ33" s="2">
        <v>385.45</v>
      </c>
      <c r="EA33" s="2">
        <v>2017.73</v>
      </c>
      <c r="EB33" s="2">
        <v>1751.62</v>
      </c>
      <c r="EC33" s="2">
        <v>3179.64</v>
      </c>
      <c r="ED33" s="2">
        <v>8462.5499999999993</v>
      </c>
      <c r="EE33" s="2">
        <v>4821.1000000000004</v>
      </c>
      <c r="EF33" s="2">
        <v>1976.8</v>
      </c>
      <c r="EG33" s="2">
        <v>12373.34</v>
      </c>
      <c r="EH33" s="2">
        <v>2237.09</v>
      </c>
      <c r="EI33" s="2">
        <v>1087.95</v>
      </c>
      <c r="EJ33" s="2">
        <v>770.12</v>
      </c>
      <c r="EK33" s="2">
        <v>125.55</v>
      </c>
      <c r="EL33" s="2">
        <v>367.04</v>
      </c>
      <c r="EM33" s="2">
        <v>10148.57</v>
      </c>
      <c r="EN33" s="2">
        <v>4263.8999999999996</v>
      </c>
      <c r="EO33" s="2">
        <v>1420.24</v>
      </c>
      <c r="EP33" s="1">
        <v>39678</v>
      </c>
      <c r="EQ33" s="1">
        <v>4976</v>
      </c>
      <c r="ER33" s="1">
        <v>984</v>
      </c>
      <c r="ES33" s="1">
        <v>9468</v>
      </c>
      <c r="ET33" s="1">
        <v>45433</v>
      </c>
      <c r="EU33" s="1">
        <v>72632</v>
      </c>
      <c r="EV33" s="1">
        <v>117265</v>
      </c>
      <c r="EW33" s="1">
        <v>6880</v>
      </c>
      <c r="EX33" s="1">
        <v>24525</v>
      </c>
      <c r="EY33" s="1">
        <v>3742</v>
      </c>
      <c r="EZ33" s="1">
        <v>324513</v>
      </c>
      <c r="FA33" s="1">
        <v>19291</v>
      </c>
      <c r="FB33" s="1">
        <v>167364</v>
      </c>
      <c r="FC33" s="1">
        <v>49049</v>
      </c>
      <c r="FD33" s="1">
        <v>22551</v>
      </c>
      <c r="FE33" s="1">
        <v>130989</v>
      </c>
      <c r="FF33" s="1">
        <v>4850</v>
      </c>
      <c r="FG33" s="1">
        <v>419273</v>
      </c>
      <c r="FH33" s="1">
        <v>75328</v>
      </c>
      <c r="FI33" s="1">
        <v>13765</v>
      </c>
      <c r="FJ33" s="1">
        <v>809</v>
      </c>
      <c r="FK33" s="1">
        <v>2389</v>
      </c>
      <c r="FL33" s="1">
        <v>8995</v>
      </c>
      <c r="FM33" s="1">
        <v>1376</v>
      </c>
      <c r="FN33" s="1">
        <v>92786</v>
      </c>
      <c r="FO33" s="1">
        <v>653011</v>
      </c>
      <c r="FP33" s="1">
        <v>144</v>
      </c>
      <c r="FQ33" s="1">
        <v>154</v>
      </c>
      <c r="FR33" s="1">
        <v>137</v>
      </c>
      <c r="FS33" s="1">
        <v>92</v>
      </c>
      <c r="FT33" s="1">
        <v>247</v>
      </c>
      <c r="FU33" s="1">
        <v>124</v>
      </c>
      <c r="FV33" s="1">
        <v>142</v>
      </c>
      <c r="FW33" s="1">
        <v>74</v>
      </c>
      <c r="FX33" s="1">
        <v>159</v>
      </c>
      <c r="FY33" s="1">
        <v>161</v>
      </c>
      <c r="FZ33" s="3">
        <v>0.42199999999999999</v>
      </c>
      <c r="GA33" s="3">
        <v>-2.1419999999999999</v>
      </c>
      <c r="GB33" s="3">
        <v>0.78800000000000003</v>
      </c>
      <c r="GC33" s="3">
        <v>0.40200000000000002</v>
      </c>
      <c r="GD33" s="3">
        <v>0.97</v>
      </c>
      <c r="GE33" s="3">
        <v>9.1999999999999998E-2</v>
      </c>
      <c r="GF33" s="3">
        <v>0.67100000000000004</v>
      </c>
      <c r="GG33" s="3">
        <v>6.3E-2</v>
      </c>
      <c r="GH33" s="3">
        <v>0.13300000000000001</v>
      </c>
      <c r="GI33" s="3">
        <v>-0.14599999999999999</v>
      </c>
      <c r="GJ33" s="3">
        <v>-0.42599999999999999</v>
      </c>
      <c r="GK33" s="3">
        <v>-0.32100000000000001</v>
      </c>
      <c r="GL33" s="3">
        <v>-6.0000000000000001E-3</v>
      </c>
      <c r="GM33" s="3">
        <v>-0.17399999999999999</v>
      </c>
      <c r="GN33" s="3">
        <v>1.333</v>
      </c>
      <c r="GO33" s="3">
        <v>0.20399999999999999</v>
      </c>
      <c r="GP33" s="3">
        <v>0.90700000000000003</v>
      </c>
      <c r="GQ33" s="3">
        <v>-0.113</v>
      </c>
      <c r="GR33" s="3">
        <v>2.1000000000000001E-2</v>
      </c>
      <c r="GS33" s="3">
        <v>0.26200000000000001</v>
      </c>
      <c r="GT33" s="3">
        <v>-0.19400000000000001</v>
      </c>
      <c r="GU33" s="3">
        <v>4.2000000000000003E-2</v>
      </c>
      <c r="GV33" s="3">
        <v>1.7999999999999999E-2</v>
      </c>
      <c r="GW33" s="3">
        <v>-0.35299999999999998</v>
      </c>
      <c r="GX33" s="3">
        <v>0.14499999999999999</v>
      </c>
      <c r="GY33" s="3">
        <v>0.105</v>
      </c>
      <c r="GZ33" s="4">
        <v>103</v>
      </c>
      <c r="HA33" s="4">
        <v>86</v>
      </c>
      <c r="HB33" s="4">
        <v>122</v>
      </c>
      <c r="HC33" s="4">
        <v>83</v>
      </c>
      <c r="HD33" s="4">
        <v>168</v>
      </c>
      <c r="HE33" s="4">
        <v>93</v>
      </c>
      <c r="HF33" s="1">
        <v>2928</v>
      </c>
      <c r="HG33" s="1">
        <v>2766</v>
      </c>
      <c r="HH33" s="1">
        <v>2430</v>
      </c>
      <c r="HI33" s="1">
        <v>3043</v>
      </c>
      <c r="HJ33" s="1">
        <v>2371</v>
      </c>
      <c r="HK33" s="1">
        <v>2511</v>
      </c>
      <c r="HL33" s="1">
        <v>1658</v>
      </c>
      <c r="HM33" s="1">
        <v>3870</v>
      </c>
      <c r="HN33" s="1">
        <v>4798</v>
      </c>
      <c r="HO33" s="1">
        <v>6019</v>
      </c>
      <c r="HP33" s="1">
        <v>7429</v>
      </c>
      <c r="HQ33" s="1">
        <v>8199</v>
      </c>
      <c r="HR33" s="1">
        <v>7726</v>
      </c>
      <c r="HS33" s="1">
        <v>27067</v>
      </c>
      <c r="HT33" s="1">
        <v>24453</v>
      </c>
      <c r="HU33" s="1">
        <v>35313</v>
      </c>
      <c r="HV33" s="1">
        <v>27950</v>
      </c>
      <c r="HW33" s="1">
        <v>57685</v>
      </c>
      <c r="HX33" s="1">
        <v>48381</v>
      </c>
      <c r="HY33" s="1">
        <v>73159</v>
      </c>
      <c r="HZ33" s="1">
        <v>40169</v>
      </c>
      <c r="IA33" s="1">
        <v>44392</v>
      </c>
      <c r="IB33" s="1">
        <v>14523</v>
      </c>
      <c r="IC33" s="1">
        <v>12791</v>
      </c>
      <c r="ID33" s="1">
        <v>252685</v>
      </c>
      <c r="IE33" s="1">
        <v>12525</v>
      </c>
      <c r="IF33" s="1">
        <v>13831</v>
      </c>
      <c r="IG33" s="1">
        <v>31311</v>
      </c>
      <c r="IH33" s="1">
        <v>41034</v>
      </c>
      <c r="II33" s="1">
        <v>23773</v>
      </c>
      <c r="IJ33" s="1">
        <v>20514</v>
      </c>
      <c r="IK33" s="1">
        <v>17796</v>
      </c>
      <c r="IL33" s="1">
        <v>22691</v>
      </c>
      <c r="IM33" s="1">
        <v>23658</v>
      </c>
      <c r="IN33" s="1">
        <v>29989</v>
      </c>
      <c r="IO33" s="1">
        <v>31462</v>
      </c>
      <c r="IP33" s="1">
        <v>38778</v>
      </c>
      <c r="IQ33" s="1">
        <v>39795</v>
      </c>
      <c r="IR33" s="1">
        <v>43013</v>
      </c>
      <c r="IS33" s="1">
        <v>41527</v>
      </c>
      <c r="IT33" s="1">
        <v>87171</v>
      </c>
      <c r="IU33" s="1">
        <v>76500</v>
      </c>
      <c r="IV33" s="1">
        <v>136147</v>
      </c>
      <c r="IW33">
        <v>79837</v>
      </c>
      <c r="IX33">
        <v>81101</v>
      </c>
      <c r="IY33">
        <v>46276</v>
      </c>
      <c r="IZ33">
        <v>23215</v>
      </c>
      <c r="JA33">
        <v>830</v>
      </c>
      <c r="JB33">
        <v>157077</v>
      </c>
      <c r="JC33">
        <v>42597</v>
      </c>
      <c r="JD33">
        <v>13507</v>
      </c>
      <c r="JE33">
        <v>8049</v>
      </c>
      <c r="JF33">
        <v>8136</v>
      </c>
      <c r="JG33">
        <v>9814</v>
      </c>
      <c r="JH33">
        <v>32039</v>
      </c>
      <c r="JI33">
        <v>202985</v>
      </c>
      <c r="JJ33">
        <v>4927</v>
      </c>
      <c r="JK33">
        <v>672</v>
      </c>
      <c r="JL33">
        <v>47530</v>
      </c>
      <c r="JM33">
        <v>24935</v>
      </c>
      <c r="JN33">
        <v>37495</v>
      </c>
      <c r="JO33">
        <v>51736</v>
      </c>
      <c r="JP33">
        <v>53077</v>
      </c>
      <c r="JQ33">
        <v>60011</v>
      </c>
      <c r="JR33">
        <v>112326</v>
      </c>
      <c r="JS33">
        <v>624293</v>
      </c>
      <c r="JT33">
        <v>4478</v>
      </c>
      <c r="JU33">
        <v>972</v>
      </c>
      <c r="JV33">
        <v>63701</v>
      </c>
      <c r="JW33">
        <v>65473</v>
      </c>
      <c r="JX33">
        <v>113142</v>
      </c>
      <c r="JY33">
        <v>181173</v>
      </c>
      <c r="JZ33">
        <v>299799</v>
      </c>
      <c r="KA33">
        <v>250461</v>
      </c>
      <c r="KB33">
        <v>180044</v>
      </c>
      <c r="KC33">
        <v>92588</v>
      </c>
      <c r="KD33">
        <v>250275</v>
      </c>
      <c r="KE33">
        <v>4591</v>
      </c>
      <c r="KF33">
        <v>1354</v>
      </c>
      <c r="KG33">
        <v>55203</v>
      </c>
      <c r="KH33">
        <v>91345</v>
      </c>
      <c r="KI33">
        <v>35249</v>
      </c>
      <c r="KJ33">
        <v>138949</v>
      </c>
      <c r="KK33">
        <v>60595</v>
      </c>
      <c r="KL33">
        <v>6882</v>
      </c>
      <c r="KM33">
        <v>38123</v>
      </c>
      <c r="KN33">
        <v>77663</v>
      </c>
      <c r="KO33">
        <v>37979</v>
      </c>
      <c r="KP33">
        <v>118828</v>
      </c>
      <c r="KQ33">
        <v>1174</v>
      </c>
      <c r="KR33">
        <v>61905</v>
      </c>
      <c r="KS33">
        <v>125458</v>
      </c>
      <c r="KT33">
        <v>202676</v>
      </c>
      <c r="KU33">
        <v>33493</v>
      </c>
      <c r="KV33">
        <v>100236</v>
      </c>
      <c r="KW33">
        <v>72888</v>
      </c>
      <c r="KX33">
        <v>69461</v>
      </c>
      <c r="KY33">
        <v>878211</v>
      </c>
      <c r="KZ33">
        <v>46136</v>
      </c>
      <c r="LA33">
        <v>133887</v>
      </c>
      <c r="LB33">
        <v>105447</v>
      </c>
      <c r="LC33">
        <v>47684</v>
      </c>
      <c r="LD33">
        <v>46362</v>
      </c>
      <c r="LE33">
        <v>75344</v>
      </c>
      <c r="LF33">
        <v>981</v>
      </c>
      <c r="LG33">
        <v>978077</v>
      </c>
      <c r="LH33">
        <v>68237</v>
      </c>
      <c r="LI33">
        <v>146981</v>
      </c>
      <c r="LJ33">
        <v>53534</v>
      </c>
      <c r="LK33">
        <v>100058</v>
      </c>
      <c r="LL33">
        <v>51810</v>
      </c>
      <c r="LM33">
        <v>58916</v>
      </c>
      <c r="LN33">
        <v>10635</v>
      </c>
      <c r="LO33">
        <v>28408</v>
      </c>
      <c r="LP33">
        <v>486.45330999999999</v>
      </c>
      <c r="LQ33">
        <v>6761.1237199999996</v>
      </c>
    </row>
    <row r="34" spans="1:329" x14ac:dyDescent="0.25">
      <c r="A34" s="5" t="s">
        <v>356</v>
      </c>
      <c r="B34" s="5" t="s">
        <v>289</v>
      </c>
      <c r="C34" s="1">
        <v>4095110</v>
      </c>
      <c r="D34" s="1">
        <v>4163687</v>
      </c>
      <c r="E34" s="1">
        <v>4200687</v>
      </c>
      <c r="F34" s="1">
        <v>4333614</v>
      </c>
      <c r="G34" s="1">
        <v>4427806</v>
      </c>
      <c r="H34" s="1">
        <v>1626771</v>
      </c>
      <c r="I34" s="1">
        <v>1706065</v>
      </c>
      <c r="J34" s="1">
        <v>1740170</v>
      </c>
      <c r="K34" s="1">
        <v>1854759</v>
      </c>
      <c r="L34" s="1">
        <v>1909125</v>
      </c>
      <c r="M34" s="1">
        <v>1924493</v>
      </c>
      <c r="N34" s="1">
        <v>1373238</v>
      </c>
      <c r="O34" s="1">
        <v>481521</v>
      </c>
      <c r="P34" s="1">
        <v>69734</v>
      </c>
      <c r="Q34" s="1">
        <v>119205</v>
      </c>
      <c r="R34" s="1">
        <v>19583</v>
      </c>
      <c r="S34" s="1">
        <v>66</v>
      </c>
      <c r="T34" s="1">
        <v>3378340</v>
      </c>
      <c r="U34" s="1">
        <v>914654</v>
      </c>
      <c r="V34" s="1">
        <v>40620</v>
      </c>
      <c r="W34" s="1">
        <v>6762</v>
      </c>
      <c r="X34" s="1">
        <v>73</v>
      </c>
      <c r="Y34" s="2">
        <v>40.15</v>
      </c>
      <c r="Z34" s="1">
        <v>240580</v>
      </c>
      <c r="AA34" s="1">
        <v>235993</v>
      </c>
      <c r="AB34" s="1">
        <v>238630</v>
      </c>
      <c r="AC34" s="1">
        <v>223702</v>
      </c>
      <c r="AD34" s="1">
        <v>228382</v>
      </c>
      <c r="AE34" s="1">
        <v>300596</v>
      </c>
      <c r="AF34" s="1">
        <v>321809</v>
      </c>
      <c r="AG34" s="1">
        <v>314360</v>
      </c>
      <c r="AH34" s="1">
        <v>273366</v>
      </c>
      <c r="AI34" s="1">
        <v>281635</v>
      </c>
      <c r="AJ34" s="1">
        <v>294150</v>
      </c>
      <c r="AK34" s="1">
        <v>330194</v>
      </c>
      <c r="AL34" s="1">
        <v>304111</v>
      </c>
      <c r="AM34" s="1">
        <v>242761</v>
      </c>
      <c r="AN34" s="1">
        <v>185648</v>
      </c>
      <c r="AO34" s="1">
        <v>127639</v>
      </c>
      <c r="AP34" s="1">
        <v>88367</v>
      </c>
      <c r="AQ34" s="1">
        <v>101694</v>
      </c>
      <c r="AR34" s="1">
        <v>2105031</v>
      </c>
      <c r="AS34" s="1">
        <v>2228583</v>
      </c>
      <c r="AT34" s="1">
        <v>3338233</v>
      </c>
      <c r="AU34" s="1">
        <v>307025</v>
      </c>
      <c r="AV34" s="1">
        <v>12462</v>
      </c>
      <c r="AW34" s="1">
        <v>195686</v>
      </c>
      <c r="AX34" s="1">
        <v>2870</v>
      </c>
      <c r="AY34" s="1">
        <v>5990</v>
      </c>
      <c r="AZ34" s="1">
        <v>90962</v>
      </c>
      <c r="BA34" s="1">
        <v>380788</v>
      </c>
      <c r="BB34" s="1">
        <v>3618414</v>
      </c>
      <c r="BC34" s="1">
        <v>1123301</v>
      </c>
      <c r="BD34" s="1">
        <v>1788851</v>
      </c>
      <c r="BE34" s="1">
        <v>111821</v>
      </c>
      <c r="BF34" s="1">
        <v>192622</v>
      </c>
      <c r="BG34" s="1">
        <v>401819</v>
      </c>
      <c r="BH34" s="1">
        <v>3166329</v>
      </c>
      <c r="BI34" s="1">
        <v>66293</v>
      </c>
      <c r="BJ34" s="1">
        <v>107762</v>
      </c>
      <c r="BK34" s="1">
        <v>629095</v>
      </c>
      <c r="BL34" s="1">
        <v>551055</v>
      </c>
      <c r="BM34" s="1">
        <v>252336</v>
      </c>
      <c r="BN34" s="1">
        <v>878268</v>
      </c>
      <c r="BO34" s="1">
        <v>681520</v>
      </c>
      <c r="BP34" s="1">
        <v>3575139</v>
      </c>
      <c r="BQ34" s="1">
        <v>5417</v>
      </c>
      <c r="BR34" s="1">
        <v>2435965</v>
      </c>
      <c r="BS34" s="1">
        <v>62206</v>
      </c>
      <c r="BT34" s="1">
        <v>1071551</v>
      </c>
      <c r="BU34" s="1">
        <v>1130193</v>
      </c>
      <c r="BV34" s="1">
        <v>724566</v>
      </c>
      <c r="BW34" s="1">
        <v>355100</v>
      </c>
      <c r="BX34" s="1">
        <v>35579</v>
      </c>
      <c r="BY34" s="1">
        <v>103419</v>
      </c>
      <c r="BZ34" s="1">
        <v>518847</v>
      </c>
      <c r="CA34" s="1">
        <v>35073</v>
      </c>
      <c r="CB34" s="1">
        <v>81803</v>
      </c>
      <c r="CC34" s="2">
        <v>2.31</v>
      </c>
      <c r="CD34" s="1">
        <v>575062</v>
      </c>
      <c r="CE34" s="1">
        <v>653759</v>
      </c>
      <c r="CF34" s="1">
        <v>276939</v>
      </c>
      <c r="CG34" s="1">
        <v>219842</v>
      </c>
      <c r="CH34" s="1">
        <v>85212</v>
      </c>
      <c r="CI34" s="1">
        <v>28197</v>
      </c>
      <c r="CJ34" s="1">
        <v>15748</v>
      </c>
      <c r="CK34" s="2">
        <v>52.3</v>
      </c>
      <c r="CL34" s="1">
        <v>54399</v>
      </c>
      <c r="CM34" s="1">
        <v>283296</v>
      </c>
      <c r="CN34" s="1">
        <v>315684</v>
      </c>
      <c r="CO34" s="1">
        <v>330168</v>
      </c>
      <c r="CP34" s="1">
        <v>382269</v>
      </c>
      <c r="CQ34" s="1">
        <v>273146</v>
      </c>
      <c r="CR34" s="1">
        <v>145919</v>
      </c>
      <c r="CS34" s="1">
        <v>69878</v>
      </c>
      <c r="CT34" s="1">
        <v>87773</v>
      </c>
      <c r="CU34" s="1">
        <v>617611</v>
      </c>
      <c r="CV34" s="1">
        <v>1149374</v>
      </c>
      <c r="CW34" s="1">
        <v>47366</v>
      </c>
      <c r="CX34" s="1">
        <v>85957</v>
      </c>
      <c r="CY34" s="1">
        <v>108265</v>
      </c>
      <c r="CZ34" s="1">
        <v>58549</v>
      </c>
      <c r="DA34" s="1">
        <v>40520</v>
      </c>
      <c r="DB34" s="1">
        <v>50198</v>
      </c>
      <c r="DC34" s="1">
        <v>56510</v>
      </c>
      <c r="DD34" s="1">
        <v>53142</v>
      </c>
      <c r="DE34" s="1">
        <v>54725</v>
      </c>
      <c r="DF34" s="1">
        <v>57683</v>
      </c>
      <c r="DG34" s="1">
        <v>61948</v>
      </c>
      <c r="DH34" s="1">
        <v>61075</v>
      </c>
      <c r="DI34" s="1">
        <v>123588</v>
      </c>
      <c r="DJ34" s="1">
        <v>182862</v>
      </c>
      <c r="DK34" s="1">
        <v>288784</v>
      </c>
      <c r="DL34" s="1">
        <v>190702</v>
      </c>
      <c r="DM34" s="1">
        <v>173853</v>
      </c>
      <c r="DN34" s="1">
        <v>205275</v>
      </c>
      <c r="DO34" s="1">
        <v>195346</v>
      </c>
      <c r="DP34" s="1">
        <v>55090</v>
      </c>
      <c r="DQ34" s="1">
        <v>77815</v>
      </c>
      <c r="DR34" s="1">
        <v>99156</v>
      </c>
      <c r="DS34" s="1">
        <v>106498</v>
      </c>
      <c r="DT34" s="1">
        <v>95173</v>
      </c>
      <c r="DU34" s="1">
        <v>74820</v>
      </c>
      <c r="DV34" s="1">
        <v>57331</v>
      </c>
      <c r="DW34" s="2">
        <v>75718.759999999995</v>
      </c>
      <c r="DX34" s="2">
        <v>35694.050000000003</v>
      </c>
      <c r="DY34" s="2">
        <v>2558.61</v>
      </c>
      <c r="DZ34" s="2">
        <v>554.80999999999995</v>
      </c>
      <c r="EA34" s="2">
        <v>2687.28</v>
      </c>
      <c r="EB34" s="2">
        <v>2387.98</v>
      </c>
      <c r="EC34" s="2">
        <v>4351.95</v>
      </c>
      <c r="ED34" s="2">
        <v>11055.35</v>
      </c>
      <c r="EE34" s="2">
        <v>6335.71</v>
      </c>
      <c r="EF34" s="2">
        <v>2702.63</v>
      </c>
      <c r="EG34" s="2">
        <v>15882.9</v>
      </c>
      <c r="EH34" s="2">
        <v>3008.62</v>
      </c>
      <c r="EI34" s="2">
        <v>1443.32</v>
      </c>
      <c r="EJ34" s="2">
        <v>1018.81</v>
      </c>
      <c r="EK34" s="2">
        <v>166.81</v>
      </c>
      <c r="EL34" s="2">
        <v>424.5</v>
      </c>
      <c r="EM34" s="2">
        <v>13782.14</v>
      </c>
      <c r="EN34" s="2">
        <v>5431.93</v>
      </c>
      <c r="EO34" s="2">
        <v>1925.41</v>
      </c>
      <c r="EP34" s="1">
        <v>60071</v>
      </c>
      <c r="EQ34" s="1">
        <v>7373</v>
      </c>
      <c r="ER34" s="1">
        <v>1390</v>
      </c>
      <c r="ES34" s="1">
        <v>15400</v>
      </c>
      <c r="ET34" s="1">
        <v>70315</v>
      </c>
      <c r="EU34" s="1">
        <v>118976</v>
      </c>
      <c r="EV34" s="1">
        <v>185870</v>
      </c>
      <c r="EW34" s="1">
        <v>10581</v>
      </c>
      <c r="EX34" s="1">
        <v>36151</v>
      </c>
      <c r="EY34" s="1">
        <v>5245</v>
      </c>
      <c r="EZ34" s="1">
        <v>509711</v>
      </c>
      <c r="FA34" s="1">
        <v>25351</v>
      </c>
      <c r="FB34" s="1">
        <v>330164</v>
      </c>
      <c r="FC34" s="1">
        <v>73628</v>
      </c>
      <c r="FD34" s="1">
        <v>34831</v>
      </c>
      <c r="FE34" s="1">
        <v>212564</v>
      </c>
      <c r="FF34" s="1">
        <v>6756</v>
      </c>
      <c r="FG34" s="1">
        <v>614259</v>
      </c>
      <c r="FH34" s="1">
        <v>123612</v>
      </c>
      <c r="FI34" s="1">
        <v>16871</v>
      </c>
      <c r="FJ34" s="1">
        <v>1334</v>
      </c>
      <c r="FK34" s="1">
        <v>3087</v>
      </c>
      <c r="FL34" s="1">
        <v>13534</v>
      </c>
      <c r="FM34" s="1">
        <v>1869</v>
      </c>
      <c r="FN34" s="1">
        <v>128179</v>
      </c>
      <c r="FO34" s="1">
        <v>998601</v>
      </c>
      <c r="FP34" s="1">
        <v>83</v>
      </c>
      <c r="FQ34" s="1">
        <v>60</v>
      </c>
      <c r="FR34" s="1">
        <v>49</v>
      </c>
      <c r="FS34" s="1">
        <v>75</v>
      </c>
      <c r="FT34" s="1">
        <v>69</v>
      </c>
      <c r="FU34" s="1">
        <v>54</v>
      </c>
      <c r="FV34" s="1">
        <v>86</v>
      </c>
      <c r="FW34" s="1">
        <v>82</v>
      </c>
      <c r="FX34" s="1">
        <v>89</v>
      </c>
      <c r="FY34" s="1">
        <v>74</v>
      </c>
      <c r="FZ34" s="3">
        <v>0.49099999999999999</v>
      </c>
      <c r="GA34" s="3">
        <v>5.6000000000000001E-2</v>
      </c>
      <c r="GB34" s="3">
        <v>8.2000000000000003E-2</v>
      </c>
      <c r="GC34" s="3">
        <v>-0.33100000000000002</v>
      </c>
      <c r="GD34" s="3">
        <v>1.08</v>
      </c>
      <c r="GE34" s="3">
        <v>0.29599999999999999</v>
      </c>
      <c r="GF34" s="3">
        <v>-0.66</v>
      </c>
      <c r="GG34" s="3">
        <v>8.0000000000000002E-3</v>
      </c>
      <c r="GH34" s="3">
        <v>-0.71399999999999997</v>
      </c>
      <c r="GI34" s="3">
        <v>4.9000000000000002E-2</v>
      </c>
      <c r="GJ34" s="3">
        <v>0.432</v>
      </c>
      <c r="GK34" s="3">
        <v>-0.26700000000000002</v>
      </c>
      <c r="GL34" s="3">
        <v>-0.19500000000000001</v>
      </c>
      <c r="GM34" s="3">
        <v>-1.4E-2</v>
      </c>
      <c r="GN34" s="3">
        <v>-0.28899999999999998</v>
      </c>
      <c r="GO34" s="3">
        <v>1.2E-2</v>
      </c>
      <c r="GP34" s="3">
        <v>-0.25900000000000001</v>
      </c>
      <c r="GQ34" s="3">
        <v>-7.0999999999999994E-2</v>
      </c>
      <c r="GR34" s="3">
        <v>0.25700000000000001</v>
      </c>
      <c r="GS34" s="3">
        <v>-0.314</v>
      </c>
      <c r="GT34" s="3">
        <v>-2.5000000000000001E-2</v>
      </c>
      <c r="GU34" s="3">
        <v>0.48399999999999999</v>
      </c>
      <c r="GV34" s="3">
        <v>-0.114</v>
      </c>
      <c r="GW34" s="3">
        <v>-4.4999999999999998E-2</v>
      </c>
      <c r="GX34" s="3">
        <v>-0.16</v>
      </c>
      <c r="GY34" s="3">
        <v>-0.13800000000000001</v>
      </c>
      <c r="GZ34" s="4">
        <v>114</v>
      </c>
      <c r="HA34" s="4">
        <v>113</v>
      </c>
      <c r="HB34" s="4">
        <v>129</v>
      </c>
      <c r="HC34" s="4">
        <v>109</v>
      </c>
      <c r="HD34" s="4">
        <v>132</v>
      </c>
      <c r="HE34" s="4">
        <v>89</v>
      </c>
      <c r="HF34" s="1">
        <v>5033</v>
      </c>
      <c r="HG34" s="1">
        <v>3852</v>
      </c>
      <c r="HH34" s="1">
        <v>4610</v>
      </c>
      <c r="HI34" s="1">
        <v>4739</v>
      </c>
      <c r="HJ34" s="1">
        <v>3872</v>
      </c>
      <c r="HK34" s="1">
        <v>3646</v>
      </c>
      <c r="HL34" s="1">
        <v>2097</v>
      </c>
      <c r="HM34" s="1">
        <v>5876</v>
      </c>
      <c r="HN34" s="1">
        <v>7425</v>
      </c>
      <c r="HO34" s="1">
        <v>8158</v>
      </c>
      <c r="HP34" s="1">
        <v>10533</v>
      </c>
      <c r="HQ34" s="1">
        <v>13962</v>
      </c>
      <c r="HR34" s="1">
        <v>14965</v>
      </c>
      <c r="HS34" s="1">
        <v>48241</v>
      </c>
      <c r="HT34" s="1">
        <v>55130</v>
      </c>
      <c r="HU34" s="1">
        <v>92223</v>
      </c>
      <c r="HV34" s="1">
        <v>97126</v>
      </c>
      <c r="HW34" s="1">
        <v>253323</v>
      </c>
      <c r="HX34" s="1">
        <v>218107</v>
      </c>
      <c r="HY34" s="1">
        <v>251124</v>
      </c>
      <c r="HZ34" s="1">
        <v>95738</v>
      </c>
      <c r="IA34" s="1">
        <v>69804</v>
      </c>
      <c r="IB34" s="1">
        <v>18264</v>
      </c>
      <c r="IC34" s="1">
        <v>13946</v>
      </c>
      <c r="ID34" s="1">
        <v>253687</v>
      </c>
      <c r="IE34" s="1">
        <v>2906</v>
      </c>
      <c r="IF34" s="1">
        <v>2867</v>
      </c>
      <c r="IG34" s="1">
        <v>4091</v>
      </c>
      <c r="IH34" s="1">
        <v>5931</v>
      </c>
      <c r="II34" s="1">
        <v>4609</v>
      </c>
      <c r="IJ34" s="1">
        <v>6216</v>
      </c>
      <c r="IK34" s="1">
        <v>6962</v>
      </c>
      <c r="IL34" s="1">
        <v>11217</v>
      </c>
      <c r="IM34" s="1">
        <v>12211</v>
      </c>
      <c r="IN34" s="1">
        <v>19634</v>
      </c>
      <c r="IO34" s="1">
        <v>19240</v>
      </c>
      <c r="IP34" s="1">
        <v>26545</v>
      </c>
      <c r="IQ34" s="1">
        <v>26177</v>
      </c>
      <c r="IR34" s="1">
        <v>26999</v>
      </c>
      <c r="IS34" s="1">
        <v>27728</v>
      </c>
      <c r="IT34" s="1">
        <v>52874</v>
      </c>
      <c r="IU34" s="1">
        <v>38675</v>
      </c>
      <c r="IV34" s="1">
        <v>61499</v>
      </c>
      <c r="IW34">
        <v>34046</v>
      </c>
      <c r="IX34">
        <v>23545</v>
      </c>
      <c r="IY34">
        <v>7656</v>
      </c>
      <c r="IZ34">
        <v>26476</v>
      </c>
      <c r="JA34">
        <v>801</v>
      </c>
      <c r="JB34">
        <v>1390528</v>
      </c>
      <c r="JC34">
        <v>76145</v>
      </c>
      <c r="JD34">
        <v>30745</v>
      </c>
      <c r="JE34">
        <v>11823</v>
      </c>
      <c r="JF34">
        <v>10197</v>
      </c>
      <c r="JG34">
        <v>7524</v>
      </c>
      <c r="JH34">
        <v>8497</v>
      </c>
      <c r="JI34">
        <v>6692</v>
      </c>
      <c r="JJ34">
        <v>16057</v>
      </c>
      <c r="JK34">
        <v>321</v>
      </c>
      <c r="JL34">
        <v>165438</v>
      </c>
      <c r="JM34">
        <v>32464</v>
      </c>
      <c r="JN34">
        <v>78542</v>
      </c>
      <c r="JO34">
        <v>75302</v>
      </c>
      <c r="JP34">
        <v>55862</v>
      </c>
      <c r="JQ34">
        <v>43105</v>
      </c>
      <c r="JR34">
        <v>33498</v>
      </c>
      <c r="JS34">
        <v>28610</v>
      </c>
      <c r="JT34">
        <v>5490</v>
      </c>
      <c r="JU34">
        <v>165</v>
      </c>
      <c r="JV34">
        <v>66793</v>
      </c>
      <c r="JW34">
        <v>78565</v>
      </c>
      <c r="JX34">
        <v>138084</v>
      </c>
      <c r="JY34">
        <v>159090</v>
      </c>
      <c r="JZ34">
        <v>198622</v>
      </c>
      <c r="KA34">
        <v>214298</v>
      </c>
      <c r="KB34">
        <v>451107</v>
      </c>
      <c r="KC34">
        <v>221992</v>
      </c>
      <c r="KD34">
        <v>548454</v>
      </c>
      <c r="KE34">
        <v>11793</v>
      </c>
      <c r="KF34">
        <v>3982</v>
      </c>
      <c r="KG34">
        <v>129027</v>
      </c>
      <c r="KH34">
        <v>215140</v>
      </c>
      <c r="KI34">
        <v>71869</v>
      </c>
      <c r="KJ34">
        <v>270329</v>
      </c>
      <c r="KK34">
        <v>82423</v>
      </c>
      <c r="KL34">
        <v>19138</v>
      </c>
      <c r="KM34">
        <v>67278</v>
      </c>
      <c r="KN34">
        <v>149431</v>
      </c>
      <c r="KO34">
        <v>52895</v>
      </c>
      <c r="KP34">
        <v>241621</v>
      </c>
      <c r="KQ34">
        <v>2711</v>
      </c>
      <c r="KR34">
        <v>84510</v>
      </c>
      <c r="KS34">
        <v>340819</v>
      </c>
      <c r="KT34">
        <v>385100</v>
      </c>
      <c r="KU34">
        <v>63421</v>
      </c>
      <c r="KV34">
        <v>148271</v>
      </c>
      <c r="KW34">
        <v>123642</v>
      </c>
      <c r="KX34">
        <v>136508</v>
      </c>
      <c r="KY34">
        <v>1575686</v>
      </c>
      <c r="KZ34">
        <v>105461</v>
      </c>
      <c r="LA34">
        <v>309623</v>
      </c>
      <c r="LB34">
        <v>228462</v>
      </c>
      <c r="LC34">
        <v>145406</v>
      </c>
      <c r="LD34">
        <v>62981</v>
      </c>
      <c r="LE34">
        <v>169769</v>
      </c>
      <c r="LF34">
        <v>2520</v>
      </c>
      <c r="LG34">
        <v>1780222</v>
      </c>
      <c r="LH34">
        <v>16769</v>
      </c>
      <c r="LI34">
        <v>100932</v>
      </c>
      <c r="LJ34">
        <v>15779</v>
      </c>
      <c r="LK34">
        <v>103709</v>
      </c>
      <c r="LL34">
        <v>10426</v>
      </c>
      <c r="LM34">
        <v>33055</v>
      </c>
      <c r="LN34">
        <v>1868</v>
      </c>
      <c r="LO34">
        <v>14245</v>
      </c>
      <c r="LP34">
        <v>3197.40454</v>
      </c>
      <c r="LQ34">
        <v>1589.01226</v>
      </c>
    </row>
    <row r="35" spans="1:329" x14ac:dyDescent="0.25">
      <c r="A35" s="5" t="s">
        <v>357</v>
      </c>
      <c r="B35" s="5" t="s">
        <v>290</v>
      </c>
      <c r="C35" s="1">
        <v>4914239</v>
      </c>
      <c r="D35" s="1">
        <v>4899831</v>
      </c>
      <c r="E35" s="1">
        <v>4847305</v>
      </c>
      <c r="F35" s="1">
        <v>4877261</v>
      </c>
      <c r="G35" s="1">
        <v>4958896</v>
      </c>
      <c r="H35" s="1">
        <v>1924272</v>
      </c>
      <c r="I35" s="1">
        <v>1982153</v>
      </c>
      <c r="J35" s="1">
        <v>1979911</v>
      </c>
      <c r="K35" s="1">
        <v>2075711</v>
      </c>
      <c r="L35" s="1">
        <v>2120227</v>
      </c>
      <c r="M35" s="1">
        <v>2166533</v>
      </c>
      <c r="N35" s="1">
        <v>1583682</v>
      </c>
      <c r="O35" s="1">
        <v>492029</v>
      </c>
      <c r="P35" s="1">
        <v>90822</v>
      </c>
      <c r="Q35" s="1">
        <v>143821</v>
      </c>
      <c r="R35" s="1">
        <v>10260</v>
      </c>
      <c r="S35" s="1">
        <v>150</v>
      </c>
      <c r="T35" s="1">
        <v>3861703</v>
      </c>
      <c r="U35" s="1">
        <v>981135</v>
      </c>
      <c r="V35" s="1">
        <v>34423</v>
      </c>
      <c r="W35" s="1">
        <v>4920</v>
      </c>
      <c r="X35" s="1">
        <v>5</v>
      </c>
      <c r="Y35" s="2">
        <v>37.53</v>
      </c>
      <c r="Z35" s="1">
        <v>301698</v>
      </c>
      <c r="AA35" s="1">
        <v>287228</v>
      </c>
      <c r="AB35" s="1">
        <v>292691</v>
      </c>
      <c r="AC35" s="1">
        <v>276634</v>
      </c>
      <c r="AD35" s="1">
        <v>282529</v>
      </c>
      <c r="AE35" s="1">
        <v>381945</v>
      </c>
      <c r="AF35" s="1">
        <v>377241</v>
      </c>
      <c r="AG35" s="1">
        <v>338255</v>
      </c>
      <c r="AH35" s="1">
        <v>285814</v>
      </c>
      <c r="AI35" s="1">
        <v>296661</v>
      </c>
      <c r="AJ35" s="1">
        <v>306047</v>
      </c>
      <c r="AK35" s="1">
        <v>334642</v>
      </c>
      <c r="AL35" s="1">
        <v>305427</v>
      </c>
      <c r="AM35" s="1">
        <v>251931</v>
      </c>
      <c r="AN35" s="1">
        <v>201419</v>
      </c>
      <c r="AO35" s="1">
        <v>146172</v>
      </c>
      <c r="AP35" s="1">
        <v>102563</v>
      </c>
      <c r="AQ35" s="1">
        <v>108361</v>
      </c>
      <c r="AR35" s="1">
        <v>2383505</v>
      </c>
      <c r="AS35" s="1">
        <v>2493756</v>
      </c>
      <c r="AT35" s="1">
        <v>3668114</v>
      </c>
      <c r="AU35" s="1">
        <v>437921</v>
      </c>
      <c r="AV35" s="1">
        <v>24393</v>
      </c>
      <c r="AW35" s="1">
        <v>138748</v>
      </c>
      <c r="AX35" s="1">
        <v>3740</v>
      </c>
      <c r="AY35" s="1">
        <v>4454</v>
      </c>
      <c r="AZ35" s="1">
        <v>113558</v>
      </c>
      <c r="BA35" s="1">
        <v>486947</v>
      </c>
      <c r="BB35" s="1">
        <v>3995645</v>
      </c>
      <c r="BC35" s="1">
        <v>1313075</v>
      </c>
      <c r="BD35" s="1">
        <v>1785504</v>
      </c>
      <c r="BE35" s="1">
        <v>135621</v>
      </c>
      <c r="BF35" s="1">
        <v>235168</v>
      </c>
      <c r="BG35" s="1">
        <v>526277</v>
      </c>
      <c r="BH35" s="1">
        <v>3436480</v>
      </c>
      <c r="BI35" s="1">
        <v>103030</v>
      </c>
      <c r="BJ35" s="1">
        <v>196646</v>
      </c>
      <c r="BK35" s="1">
        <v>999033</v>
      </c>
      <c r="BL35" s="1">
        <v>781969</v>
      </c>
      <c r="BM35" s="1">
        <v>342345</v>
      </c>
      <c r="BN35" s="1">
        <v>658071</v>
      </c>
      <c r="BO35" s="1">
        <v>355386</v>
      </c>
      <c r="BP35" s="1">
        <v>3942568</v>
      </c>
      <c r="BQ35" s="1">
        <v>6934</v>
      </c>
      <c r="BR35" s="1">
        <v>2599350</v>
      </c>
      <c r="BS35" s="1">
        <v>79538</v>
      </c>
      <c r="BT35" s="1">
        <v>1256746</v>
      </c>
      <c r="BU35" s="1">
        <v>1276553</v>
      </c>
      <c r="BV35" s="1">
        <v>799158</v>
      </c>
      <c r="BW35" s="1">
        <v>371475</v>
      </c>
      <c r="BX35" s="1">
        <v>57250</v>
      </c>
      <c r="BY35" s="1">
        <v>158779</v>
      </c>
      <c r="BZ35" s="1">
        <v>540586</v>
      </c>
      <c r="CA35" s="1">
        <v>44938</v>
      </c>
      <c r="CB35" s="1">
        <v>103164</v>
      </c>
      <c r="CC35" s="2">
        <v>2.33</v>
      </c>
      <c r="CD35" s="1">
        <v>654627</v>
      </c>
      <c r="CE35" s="1">
        <v>713642</v>
      </c>
      <c r="CF35" s="1">
        <v>308624</v>
      </c>
      <c r="CG35" s="1">
        <v>231532</v>
      </c>
      <c r="CH35" s="1">
        <v>103275</v>
      </c>
      <c r="CI35" s="1">
        <v>39235</v>
      </c>
      <c r="CJ35" s="1">
        <v>24777</v>
      </c>
      <c r="CK35" s="2">
        <v>51.3</v>
      </c>
      <c r="CL35" s="1">
        <v>78843</v>
      </c>
      <c r="CM35" s="1">
        <v>359385</v>
      </c>
      <c r="CN35" s="1">
        <v>343299</v>
      </c>
      <c r="CO35" s="1">
        <v>351118</v>
      </c>
      <c r="CP35" s="1">
        <v>393572</v>
      </c>
      <c r="CQ35" s="1">
        <v>295435</v>
      </c>
      <c r="CR35" s="1">
        <v>174086</v>
      </c>
      <c r="CS35" s="1">
        <v>79973</v>
      </c>
      <c r="CT35" s="1">
        <v>97556</v>
      </c>
      <c r="CU35" s="1">
        <v>723318</v>
      </c>
      <c r="CV35" s="1">
        <v>1254837</v>
      </c>
      <c r="CW35" s="1">
        <v>31582</v>
      </c>
      <c r="CX35" s="1">
        <v>62358</v>
      </c>
      <c r="CY35" s="1">
        <v>75391</v>
      </c>
      <c r="CZ35" s="1">
        <v>84287</v>
      </c>
      <c r="DA35" s="1">
        <v>61920</v>
      </c>
      <c r="DB35" s="1">
        <v>78318</v>
      </c>
      <c r="DC35" s="1">
        <v>92872</v>
      </c>
      <c r="DD35" s="1">
        <v>88607</v>
      </c>
      <c r="DE35" s="1">
        <v>93066</v>
      </c>
      <c r="DF35" s="1">
        <v>97472</v>
      </c>
      <c r="DG35" s="1">
        <v>103930</v>
      </c>
      <c r="DH35" s="1">
        <v>99615</v>
      </c>
      <c r="DI35" s="1">
        <v>196036</v>
      </c>
      <c r="DJ35" s="1">
        <v>265396</v>
      </c>
      <c r="DK35" s="1">
        <v>349403</v>
      </c>
      <c r="DL35" s="1">
        <v>179434</v>
      </c>
      <c r="DM35" s="1">
        <v>125131</v>
      </c>
      <c r="DN35" s="1">
        <v>102623</v>
      </c>
      <c r="DO35" s="1">
        <v>57602</v>
      </c>
      <c r="DP35" s="1">
        <v>45440</v>
      </c>
      <c r="DQ35" s="1">
        <v>62906</v>
      </c>
      <c r="DR35" s="1">
        <v>69879</v>
      </c>
      <c r="DS35" s="1">
        <v>74116</v>
      </c>
      <c r="DT35" s="1">
        <v>68131</v>
      </c>
      <c r="DU35" s="1">
        <v>56667</v>
      </c>
      <c r="DV35" s="1">
        <v>44366</v>
      </c>
      <c r="DW35" s="2">
        <v>57105.18</v>
      </c>
      <c r="DX35" s="2">
        <v>27095.88</v>
      </c>
      <c r="DY35" s="2">
        <v>1811.32</v>
      </c>
      <c r="DZ35" s="2">
        <v>391.14</v>
      </c>
      <c r="EA35" s="2">
        <v>1982.67</v>
      </c>
      <c r="EB35" s="2">
        <v>1561.33</v>
      </c>
      <c r="EC35" s="2">
        <v>3198.6</v>
      </c>
      <c r="ED35" s="2">
        <v>8472.11</v>
      </c>
      <c r="EE35" s="2">
        <v>4960.03</v>
      </c>
      <c r="EF35" s="2">
        <v>1994.35</v>
      </c>
      <c r="EG35" s="2">
        <v>11982.2</v>
      </c>
      <c r="EH35" s="2">
        <v>2222</v>
      </c>
      <c r="EI35" s="2">
        <v>1080.27</v>
      </c>
      <c r="EJ35" s="2">
        <v>767.09</v>
      </c>
      <c r="EK35" s="2">
        <v>124.54</v>
      </c>
      <c r="EL35" s="2">
        <v>366.58</v>
      </c>
      <c r="EM35" s="2">
        <v>10507.18</v>
      </c>
      <c r="EN35" s="2">
        <v>4344.3</v>
      </c>
      <c r="EO35" s="2">
        <v>1339.47</v>
      </c>
      <c r="EP35" s="1">
        <v>28503</v>
      </c>
      <c r="EQ35" s="1">
        <v>4303</v>
      </c>
      <c r="ER35" s="1">
        <v>685</v>
      </c>
      <c r="ES35" s="1">
        <v>5323</v>
      </c>
      <c r="ET35" s="1">
        <v>22629</v>
      </c>
      <c r="EU35" s="1">
        <v>42497</v>
      </c>
      <c r="EV35" s="1">
        <v>90063</v>
      </c>
      <c r="EW35" s="1">
        <v>6442</v>
      </c>
      <c r="EX35" s="1">
        <v>16400</v>
      </c>
      <c r="EY35" s="1">
        <v>2814</v>
      </c>
      <c r="EZ35" s="1">
        <v>217827</v>
      </c>
      <c r="FA35" s="1">
        <v>19897</v>
      </c>
      <c r="FB35" s="1">
        <v>123303</v>
      </c>
      <c r="FC35" s="1">
        <v>30543</v>
      </c>
      <c r="FD35" s="1">
        <v>20924</v>
      </c>
      <c r="FE35" s="1">
        <v>90078</v>
      </c>
      <c r="FF35" s="1">
        <v>3019</v>
      </c>
      <c r="FG35" s="1">
        <v>312063</v>
      </c>
      <c r="FH35" s="1">
        <v>44978</v>
      </c>
      <c r="FI35" s="1">
        <v>14787</v>
      </c>
      <c r="FJ35" s="1">
        <v>509</v>
      </c>
      <c r="FK35" s="1">
        <v>2442</v>
      </c>
      <c r="FL35" s="1">
        <v>5309</v>
      </c>
      <c r="FM35" s="1">
        <v>917</v>
      </c>
      <c r="FN35" s="1">
        <v>75506</v>
      </c>
      <c r="FO35" s="1">
        <v>454625</v>
      </c>
      <c r="FP35" s="1">
        <v>100</v>
      </c>
      <c r="FQ35" s="1">
        <v>78</v>
      </c>
      <c r="FR35" s="1">
        <v>65</v>
      </c>
      <c r="FS35" s="1">
        <v>124</v>
      </c>
      <c r="FT35" s="1">
        <v>71</v>
      </c>
      <c r="FU35" s="1">
        <v>75</v>
      </c>
      <c r="FV35" s="1">
        <v>103</v>
      </c>
      <c r="FW35" s="1">
        <v>105</v>
      </c>
      <c r="FX35" s="1">
        <v>105</v>
      </c>
      <c r="FY35" s="1">
        <v>83</v>
      </c>
      <c r="FZ35" s="3">
        <v>-7.2999999999999995E-2</v>
      </c>
      <c r="GA35" s="3">
        <v>0.183</v>
      </c>
      <c r="GB35" s="3">
        <v>-4.2999999999999997E-2</v>
      </c>
      <c r="GC35" s="3">
        <v>-0.34899999999999998</v>
      </c>
      <c r="GD35" s="3">
        <v>-1.2999999999999999E-2</v>
      </c>
      <c r="GE35" s="3">
        <v>0.25800000000000001</v>
      </c>
      <c r="GF35" s="3">
        <v>-0.27600000000000002</v>
      </c>
      <c r="GG35" s="3">
        <v>-0.13300000000000001</v>
      </c>
      <c r="GH35" s="3">
        <v>-0.93899999999999995</v>
      </c>
      <c r="GI35" s="3">
        <v>-3.4000000000000002E-2</v>
      </c>
      <c r="GJ35" s="3">
        <v>-0.95899999999999996</v>
      </c>
      <c r="GK35" s="3">
        <v>-0.26200000000000001</v>
      </c>
      <c r="GL35" s="3">
        <v>-0.17</v>
      </c>
      <c r="GM35" s="3">
        <v>-0.34100000000000003</v>
      </c>
      <c r="GN35" s="3">
        <v>-0.14099999999999999</v>
      </c>
      <c r="GO35" s="3">
        <v>4.0000000000000001E-3</v>
      </c>
      <c r="GP35" s="3">
        <v>-0.76900000000000002</v>
      </c>
      <c r="GQ35" s="3">
        <v>8.2000000000000003E-2</v>
      </c>
      <c r="GR35" s="3">
        <v>0.13200000000000001</v>
      </c>
      <c r="GS35" s="3">
        <v>-0.20200000000000001</v>
      </c>
      <c r="GT35" s="3">
        <v>-8.5999999999999993E-2</v>
      </c>
      <c r="GU35" s="3">
        <v>0.158</v>
      </c>
      <c r="GV35" s="3">
        <v>-9.7000000000000003E-2</v>
      </c>
      <c r="GW35" s="3">
        <v>0.11799999999999999</v>
      </c>
      <c r="GX35" s="3">
        <v>-5.2999999999999999E-2</v>
      </c>
      <c r="GY35" s="3">
        <v>-0.15</v>
      </c>
      <c r="GZ35" s="4">
        <v>105</v>
      </c>
      <c r="HA35" s="4">
        <v>105</v>
      </c>
      <c r="HB35" s="4">
        <v>111</v>
      </c>
      <c r="HC35" s="4">
        <v>98</v>
      </c>
      <c r="HD35" s="4">
        <v>121</v>
      </c>
      <c r="HE35" s="4">
        <v>88</v>
      </c>
      <c r="HF35" s="1">
        <v>12482</v>
      </c>
      <c r="HG35" s="1">
        <v>12505</v>
      </c>
      <c r="HH35" s="1">
        <v>9867</v>
      </c>
      <c r="HI35" s="1">
        <v>7505</v>
      </c>
      <c r="HJ35" s="1">
        <v>5917</v>
      </c>
      <c r="HK35" s="1">
        <v>7872</v>
      </c>
      <c r="HL35" s="1">
        <v>5372</v>
      </c>
      <c r="HM35" s="1">
        <v>17218</v>
      </c>
      <c r="HN35" s="1">
        <v>25522</v>
      </c>
      <c r="HO35" s="1">
        <v>36287</v>
      </c>
      <c r="HP35" s="1">
        <v>53438</v>
      </c>
      <c r="HQ35" s="1">
        <v>77971</v>
      </c>
      <c r="HR35" s="1">
        <v>91567</v>
      </c>
      <c r="HS35" s="1">
        <v>277729</v>
      </c>
      <c r="HT35" s="1">
        <v>238568</v>
      </c>
      <c r="HU35" s="1">
        <v>218174</v>
      </c>
      <c r="HV35" s="1">
        <v>125110</v>
      </c>
      <c r="HW35" s="1">
        <v>125679</v>
      </c>
      <c r="HX35" s="1">
        <v>61897</v>
      </c>
      <c r="HY35" s="1">
        <v>54608</v>
      </c>
      <c r="HZ35" s="1">
        <v>21126</v>
      </c>
      <c r="IA35" s="1">
        <v>18744</v>
      </c>
      <c r="IB35" s="1">
        <v>5734</v>
      </c>
      <c r="IC35" s="1">
        <v>6491</v>
      </c>
      <c r="ID35" s="1">
        <v>137306</v>
      </c>
      <c r="IE35" s="1">
        <v>3479</v>
      </c>
      <c r="IF35" s="1">
        <v>3508</v>
      </c>
      <c r="IG35" s="1">
        <v>4887</v>
      </c>
      <c r="IH35" s="1">
        <v>6092</v>
      </c>
      <c r="II35" s="1">
        <v>6202</v>
      </c>
      <c r="IJ35" s="1">
        <v>11019</v>
      </c>
      <c r="IK35" s="1">
        <v>14967</v>
      </c>
      <c r="IL35" s="1">
        <v>23776</v>
      </c>
      <c r="IM35" s="1">
        <v>27930</v>
      </c>
      <c r="IN35" s="1">
        <v>38851</v>
      </c>
      <c r="IO35" s="1">
        <v>33679</v>
      </c>
      <c r="IP35" s="1">
        <v>37550</v>
      </c>
      <c r="IQ35" s="1">
        <v>34371</v>
      </c>
      <c r="IR35" s="1">
        <v>30037</v>
      </c>
      <c r="IS35" s="1">
        <v>26705</v>
      </c>
      <c r="IT35" s="1">
        <v>44644</v>
      </c>
      <c r="IU35" s="1">
        <v>28748</v>
      </c>
      <c r="IV35" s="1">
        <v>35951</v>
      </c>
      <c r="IW35">
        <v>9532</v>
      </c>
      <c r="IX35">
        <v>5824</v>
      </c>
      <c r="IY35">
        <v>2801</v>
      </c>
      <c r="IZ35">
        <v>32146</v>
      </c>
      <c r="JA35">
        <v>640</v>
      </c>
      <c r="JB35">
        <v>1661938</v>
      </c>
      <c r="JC35">
        <v>37277</v>
      </c>
      <c r="JD35">
        <v>16357</v>
      </c>
      <c r="JE35">
        <v>4810</v>
      </c>
      <c r="JF35">
        <v>3623</v>
      </c>
      <c r="JG35">
        <v>3074</v>
      </c>
      <c r="JH35">
        <v>2004</v>
      </c>
      <c r="JI35">
        <v>2302</v>
      </c>
      <c r="JJ35">
        <v>21273</v>
      </c>
      <c r="JK35">
        <v>233</v>
      </c>
      <c r="JL35">
        <v>258489</v>
      </c>
      <c r="JM35">
        <v>25816</v>
      </c>
      <c r="JN35">
        <v>63178</v>
      </c>
      <c r="JO35">
        <v>40927</v>
      </c>
      <c r="JP35">
        <v>33748</v>
      </c>
      <c r="JQ35">
        <v>27713</v>
      </c>
      <c r="JR35">
        <v>17061</v>
      </c>
      <c r="JS35">
        <v>15498</v>
      </c>
      <c r="JT35">
        <v>6440</v>
      </c>
      <c r="JU35">
        <v>95</v>
      </c>
      <c r="JV35">
        <v>59555</v>
      </c>
      <c r="JW35">
        <v>77035</v>
      </c>
      <c r="JX35">
        <v>145297</v>
      </c>
      <c r="JY35">
        <v>133090</v>
      </c>
      <c r="JZ35">
        <v>208399</v>
      </c>
      <c r="KA35">
        <v>256976</v>
      </c>
      <c r="KB35">
        <v>643841</v>
      </c>
      <c r="KC35">
        <v>260531</v>
      </c>
      <c r="KD35">
        <v>457132</v>
      </c>
      <c r="KE35">
        <v>15495</v>
      </c>
      <c r="KF35">
        <v>5935</v>
      </c>
      <c r="KG35">
        <v>148118</v>
      </c>
      <c r="KH35">
        <v>326926</v>
      </c>
      <c r="KI35">
        <v>80030</v>
      </c>
      <c r="KJ35">
        <v>319272</v>
      </c>
      <c r="KK35">
        <v>104877</v>
      </c>
      <c r="KL35">
        <v>22603</v>
      </c>
      <c r="KM35">
        <v>56343</v>
      </c>
      <c r="KN35">
        <v>139601</v>
      </c>
      <c r="KO35">
        <v>41107</v>
      </c>
      <c r="KP35">
        <v>148044</v>
      </c>
      <c r="KQ35">
        <v>2124</v>
      </c>
      <c r="KR35">
        <v>105986</v>
      </c>
      <c r="KS35">
        <v>250869</v>
      </c>
      <c r="KT35">
        <v>401515</v>
      </c>
      <c r="KU35">
        <v>54478</v>
      </c>
      <c r="KV35">
        <v>187182</v>
      </c>
      <c r="KW35">
        <v>138126</v>
      </c>
      <c r="KX35">
        <v>120925</v>
      </c>
      <c r="KY35">
        <v>1831682</v>
      </c>
      <c r="KZ35">
        <v>62645</v>
      </c>
      <c r="LA35">
        <v>275902</v>
      </c>
      <c r="LB35">
        <v>203187</v>
      </c>
      <c r="LC35">
        <v>105448</v>
      </c>
      <c r="LD35">
        <v>58403</v>
      </c>
      <c r="LE35">
        <v>130159</v>
      </c>
      <c r="LF35">
        <v>2130</v>
      </c>
      <c r="LG35">
        <v>2009655</v>
      </c>
      <c r="LH35">
        <v>18843</v>
      </c>
      <c r="LI35">
        <v>95473</v>
      </c>
      <c r="LJ35">
        <v>10150</v>
      </c>
      <c r="LK35">
        <v>62411</v>
      </c>
      <c r="LL35">
        <v>6867</v>
      </c>
      <c r="LM35">
        <v>20870</v>
      </c>
      <c r="LN35">
        <v>2914</v>
      </c>
      <c r="LO35">
        <v>14673</v>
      </c>
      <c r="LP35">
        <v>2653.2458499999998</v>
      </c>
      <c r="LQ35">
        <v>2050.0723699999999</v>
      </c>
    </row>
    <row r="36" spans="1:329" x14ac:dyDescent="0.25">
      <c r="A36" s="5" t="s">
        <v>358</v>
      </c>
      <c r="B36" s="5" t="s">
        <v>291</v>
      </c>
      <c r="C36" s="1">
        <v>5544128</v>
      </c>
      <c r="D36" s="1">
        <v>6565258</v>
      </c>
      <c r="E36" s="1">
        <v>7143057</v>
      </c>
      <c r="F36" s="1">
        <v>7523801</v>
      </c>
      <c r="G36" s="1">
        <v>7750992</v>
      </c>
      <c r="H36" s="1">
        <v>1648970</v>
      </c>
      <c r="I36" s="1">
        <v>1790080</v>
      </c>
      <c r="J36" s="1">
        <v>1891950</v>
      </c>
      <c r="K36" s="1">
        <v>2038309</v>
      </c>
      <c r="L36" s="1">
        <v>2112963</v>
      </c>
      <c r="M36" s="1">
        <v>2101910</v>
      </c>
      <c r="N36" s="1">
        <v>1242892</v>
      </c>
      <c r="O36" s="1">
        <v>795416</v>
      </c>
      <c r="P36" s="1">
        <v>63602</v>
      </c>
      <c r="Q36" s="1">
        <v>132595</v>
      </c>
      <c r="R36" s="1">
        <v>7754</v>
      </c>
      <c r="S36" s="1">
        <v>275</v>
      </c>
      <c r="T36" s="1">
        <v>6905319</v>
      </c>
      <c r="U36" s="1">
        <v>551159</v>
      </c>
      <c r="V36" s="1">
        <v>67323</v>
      </c>
      <c r="W36" s="1">
        <v>2223</v>
      </c>
      <c r="X36" s="1">
        <v>184</v>
      </c>
      <c r="Y36" s="2">
        <v>32.119999999999997</v>
      </c>
      <c r="Z36" s="1">
        <v>545342</v>
      </c>
      <c r="AA36" s="1">
        <v>561552</v>
      </c>
      <c r="AB36" s="1">
        <v>583102</v>
      </c>
      <c r="AC36" s="1">
        <v>570774</v>
      </c>
      <c r="AD36" s="1">
        <v>565775</v>
      </c>
      <c r="AE36" s="1">
        <v>595619</v>
      </c>
      <c r="AF36" s="1">
        <v>544394</v>
      </c>
      <c r="AG36" s="1">
        <v>524488</v>
      </c>
      <c r="AH36" s="1">
        <v>491973</v>
      </c>
      <c r="AI36" s="1">
        <v>488122</v>
      </c>
      <c r="AJ36" s="1">
        <v>458850</v>
      </c>
      <c r="AK36" s="1">
        <v>430462</v>
      </c>
      <c r="AL36" s="1">
        <v>357664</v>
      </c>
      <c r="AM36" s="1">
        <v>273347</v>
      </c>
      <c r="AN36" s="1">
        <v>204037</v>
      </c>
      <c r="AO36" s="1">
        <v>138704</v>
      </c>
      <c r="AP36" s="1">
        <v>92784</v>
      </c>
      <c r="AQ36" s="1">
        <v>96810</v>
      </c>
      <c r="AR36" s="1">
        <v>3763667</v>
      </c>
      <c r="AS36" s="1">
        <v>3760134</v>
      </c>
      <c r="AT36" s="1">
        <v>1142142</v>
      </c>
      <c r="AU36" s="1">
        <v>547635</v>
      </c>
      <c r="AV36" s="1">
        <v>25189</v>
      </c>
      <c r="AW36" s="1">
        <v>416063</v>
      </c>
      <c r="AX36" s="1">
        <v>15191</v>
      </c>
      <c r="AY36" s="1">
        <v>24344</v>
      </c>
      <c r="AZ36" s="1">
        <v>88867</v>
      </c>
      <c r="BA36" s="1">
        <v>5264607</v>
      </c>
      <c r="BB36" s="1">
        <v>5833805</v>
      </c>
      <c r="BC36" s="1">
        <v>2391765</v>
      </c>
      <c r="BD36" s="1">
        <v>2255788</v>
      </c>
      <c r="BE36" s="1">
        <v>431181</v>
      </c>
      <c r="BF36" s="1">
        <v>265903</v>
      </c>
      <c r="BG36" s="1">
        <v>489168</v>
      </c>
      <c r="BH36" s="1">
        <v>4697256</v>
      </c>
      <c r="BI36" s="1">
        <v>829168</v>
      </c>
      <c r="BJ36" s="1">
        <v>584936</v>
      </c>
      <c r="BK36" s="1">
        <v>1326274</v>
      </c>
      <c r="BL36" s="1">
        <v>924402</v>
      </c>
      <c r="BM36" s="1">
        <v>313488</v>
      </c>
      <c r="BN36" s="1">
        <v>509333</v>
      </c>
      <c r="BO36" s="1">
        <v>209655</v>
      </c>
      <c r="BP36" s="1">
        <v>5724231</v>
      </c>
      <c r="BQ36" s="1">
        <v>5335</v>
      </c>
      <c r="BR36" s="1">
        <v>3470250</v>
      </c>
      <c r="BS36" s="1">
        <v>179789</v>
      </c>
      <c r="BT36" s="1">
        <v>2068857</v>
      </c>
      <c r="BU36" s="1">
        <v>1647434</v>
      </c>
      <c r="BV36" s="1">
        <v>390875</v>
      </c>
      <c r="BW36" s="1">
        <v>656986</v>
      </c>
      <c r="BX36" s="1">
        <v>109002</v>
      </c>
      <c r="BY36" s="1">
        <v>251742</v>
      </c>
      <c r="BZ36" s="1">
        <v>433128</v>
      </c>
      <c r="CA36" s="1">
        <v>67189</v>
      </c>
      <c r="CB36" s="1">
        <v>128674</v>
      </c>
      <c r="CC36" s="2">
        <v>3.66</v>
      </c>
      <c r="CD36" s="1">
        <v>291297</v>
      </c>
      <c r="CE36" s="1">
        <v>410980</v>
      </c>
      <c r="CF36" s="1">
        <v>327837</v>
      </c>
      <c r="CG36" s="1">
        <v>350856</v>
      </c>
      <c r="CH36" s="1">
        <v>271816</v>
      </c>
      <c r="CI36" s="1">
        <v>161393</v>
      </c>
      <c r="CJ36" s="1">
        <v>224129</v>
      </c>
      <c r="CK36" s="2">
        <v>48.17</v>
      </c>
      <c r="CL36" s="1">
        <v>80052</v>
      </c>
      <c r="CM36" s="1">
        <v>345076</v>
      </c>
      <c r="CN36" s="1">
        <v>416542</v>
      </c>
      <c r="CO36" s="1">
        <v>425456</v>
      </c>
      <c r="CP36" s="1">
        <v>371914</v>
      </c>
      <c r="CQ36" s="1">
        <v>232886</v>
      </c>
      <c r="CR36" s="1">
        <v>118087</v>
      </c>
      <c r="CS36" s="1">
        <v>48295</v>
      </c>
      <c r="CT36" s="1">
        <v>119794</v>
      </c>
      <c r="CU36" s="1">
        <v>544663</v>
      </c>
      <c r="CV36" s="1">
        <v>1373850</v>
      </c>
      <c r="CW36" s="1">
        <v>20238</v>
      </c>
      <c r="CX36" s="1">
        <v>60062</v>
      </c>
      <c r="CY36" s="1">
        <v>65598</v>
      </c>
      <c r="CZ36" s="1">
        <v>94556</v>
      </c>
      <c r="DA36" s="1">
        <v>79667</v>
      </c>
      <c r="DB36" s="1">
        <v>88938</v>
      </c>
      <c r="DC36" s="1">
        <v>102238</v>
      </c>
      <c r="DD36" s="1">
        <v>91471</v>
      </c>
      <c r="DE36" s="1">
        <v>92125</v>
      </c>
      <c r="DF36" s="1">
        <v>96334</v>
      </c>
      <c r="DG36" s="1">
        <v>101585</v>
      </c>
      <c r="DH36" s="1">
        <v>94174</v>
      </c>
      <c r="DI36" s="1">
        <v>177074</v>
      </c>
      <c r="DJ36" s="1">
        <v>237718</v>
      </c>
      <c r="DK36" s="1">
        <v>311275</v>
      </c>
      <c r="DL36" s="1">
        <v>165116</v>
      </c>
      <c r="DM36" s="1">
        <v>123448</v>
      </c>
      <c r="DN36" s="1">
        <v>115061</v>
      </c>
      <c r="DO36" s="1">
        <v>67527</v>
      </c>
      <c r="DP36" s="1">
        <v>41004</v>
      </c>
      <c r="DQ36" s="1">
        <v>59289</v>
      </c>
      <c r="DR36" s="1">
        <v>67591</v>
      </c>
      <c r="DS36" s="1">
        <v>69352</v>
      </c>
      <c r="DT36" s="1">
        <v>63520</v>
      </c>
      <c r="DU36" s="1">
        <v>53278</v>
      </c>
      <c r="DV36" s="1">
        <v>41430</v>
      </c>
      <c r="DW36" s="2">
        <v>57126.14</v>
      </c>
      <c r="DX36" s="2">
        <v>27151.41</v>
      </c>
      <c r="DY36" s="2">
        <v>1764.59</v>
      </c>
      <c r="DZ36" s="2">
        <v>387.97</v>
      </c>
      <c r="EA36" s="2">
        <v>2031.49</v>
      </c>
      <c r="EB36" s="2">
        <v>1619.01</v>
      </c>
      <c r="EC36" s="2">
        <v>3193.56</v>
      </c>
      <c r="ED36" s="2">
        <v>8551.3799999999992</v>
      </c>
      <c r="EE36" s="2">
        <v>4827.29</v>
      </c>
      <c r="EF36" s="2">
        <v>1980.49</v>
      </c>
      <c r="EG36" s="2">
        <v>12058.38</v>
      </c>
      <c r="EH36" s="2">
        <v>2205.27</v>
      </c>
      <c r="EI36" s="2">
        <v>1062.52</v>
      </c>
      <c r="EJ36" s="2">
        <v>763.98</v>
      </c>
      <c r="EK36" s="2">
        <v>121.03</v>
      </c>
      <c r="EL36" s="2">
        <v>366.87</v>
      </c>
      <c r="EM36" s="2">
        <v>10543.15</v>
      </c>
      <c r="EN36" s="2">
        <v>4340.33</v>
      </c>
      <c r="EO36" s="2">
        <v>1308.83</v>
      </c>
      <c r="EP36" s="1">
        <v>30170</v>
      </c>
      <c r="EQ36" s="1">
        <v>4776</v>
      </c>
      <c r="ER36" s="1">
        <v>459</v>
      </c>
      <c r="ES36" s="1">
        <v>7102</v>
      </c>
      <c r="ET36" s="1">
        <v>31784</v>
      </c>
      <c r="EU36" s="1">
        <v>47869</v>
      </c>
      <c r="EV36" s="1">
        <v>88787</v>
      </c>
      <c r="EW36" s="1">
        <v>4545</v>
      </c>
      <c r="EX36" s="1">
        <v>21951</v>
      </c>
      <c r="EY36" s="1">
        <v>4545</v>
      </c>
      <c r="EZ36" s="1">
        <v>242206</v>
      </c>
      <c r="FA36" s="1">
        <v>21390</v>
      </c>
      <c r="FB36" s="1">
        <v>232473</v>
      </c>
      <c r="FC36" s="1">
        <v>46495</v>
      </c>
      <c r="FD36" s="1">
        <v>27701</v>
      </c>
      <c r="FE36" s="1">
        <v>118549</v>
      </c>
      <c r="FF36" s="1">
        <v>4275</v>
      </c>
      <c r="FG36" s="1">
        <v>425263</v>
      </c>
      <c r="FH36" s="1">
        <v>95163</v>
      </c>
      <c r="FI36" s="1">
        <v>15123</v>
      </c>
      <c r="FJ36" s="1">
        <v>530</v>
      </c>
      <c r="FK36" s="1">
        <v>2756</v>
      </c>
      <c r="FL36" s="1">
        <v>9666</v>
      </c>
      <c r="FM36" s="1">
        <v>1083</v>
      </c>
      <c r="FN36" s="1">
        <v>105137</v>
      </c>
      <c r="FO36" s="1">
        <v>564031</v>
      </c>
      <c r="FP36" s="1">
        <v>114</v>
      </c>
      <c r="FQ36" s="1">
        <v>143</v>
      </c>
      <c r="FR36" s="1">
        <v>150</v>
      </c>
      <c r="FS36" s="1">
        <v>84</v>
      </c>
      <c r="FT36" s="1">
        <v>172</v>
      </c>
      <c r="FU36" s="1">
        <v>140</v>
      </c>
      <c r="FV36" s="1">
        <v>110</v>
      </c>
      <c r="FW36" s="1">
        <v>124</v>
      </c>
      <c r="FX36" s="1">
        <v>87</v>
      </c>
      <c r="FY36" s="1">
        <v>259</v>
      </c>
      <c r="FZ36" s="3">
        <v>-0.41499999999999998</v>
      </c>
      <c r="GA36" s="3">
        <v>0.78200000000000003</v>
      </c>
      <c r="GB36" s="3">
        <v>-0.52900000000000003</v>
      </c>
      <c r="GC36" s="3">
        <v>2.3519999999999999</v>
      </c>
      <c r="GD36" s="3">
        <v>0.441</v>
      </c>
      <c r="GE36" s="3">
        <v>-0.36499999999999999</v>
      </c>
      <c r="GF36" s="3">
        <v>1.4E-2</v>
      </c>
      <c r="GG36" s="3">
        <v>-0.13200000000000001</v>
      </c>
      <c r="GH36" s="3">
        <v>-0.20899999999999999</v>
      </c>
      <c r="GI36" s="3">
        <v>-6.0000000000000001E-3</v>
      </c>
      <c r="GJ36" s="3">
        <v>0.32900000000000001</v>
      </c>
      <c r="GK36" s="3">
        <v>-0.11</v>
      </c>
      <c r="GL36" s="3">
        <v>-0.247</v>
      </c>
      <c r="GM36" s="3">
        <v>-3.0000000000000001E-3</v>
      </c>
      <c r="GN36" s="3">
        <v>-0.20100000000000001</v>
      </c>
      <c r="GO36" s="3">
        <v>-4.5999999999999999E-2</v>
      </c>
      <c r="GP36" s="3">
        <v>-0.48599999999999999</v>
      </c>
      <c r="GQ36" s="3">
        <v>6.0999999999999999E-2</v>
      </c>
      <c r="GR36" s="3">
        <v>-0.23400000000000001</v>
      </c>
      <c r="GS36" s="3">
        <v>8.5000000000000006E-2</v>
      </c>
      <c r="GT36" s="3">
        <v>-5.8999999999999997E-2</v>
      </c>
      <c r="GU36" s="3">
        <v>-0.20799999999999999</v>
      </c>
      <c r="GV36" s="3">
        <v>0.26200000000000001</v>
      </c>
      <c r="GW36" s="3">
        <v>0.123</v>
      </c>
      <c r="GX36" s="3">
        <v>-2.7E-2</v>
      </c>
      <c r="GY36" s="3">
        <v>0.08</v>
      </c>
      <c r="GZ36" s="4">
        <v>98</v>
      </c>
      <c r="HA36" s="4">
        <v>88</v>
      </c>
      <c r="HB36" s="4">
        <v>111</v>
      </c>
      <c r="HC36" s="4">
        <v>64</v>
      </c>
      <c r="HD36" s="4">
        <v>128</v>
      </c>
      <c r="HE36" s="4">
        <v>136</v>
      </c>
      <c r="HF36" s="1">
        <v>8739</v>
      </c>
      <c r="HG36" s="1">
        <v>6052</v>
      </c>
      <c r="HH36" s="1">
        <v>5403</v>
      </c>
      <c r="HI36" s="1">
        <v>5446</v>
      </c>
      <c r="HJ36" s="1">
        <v>4463</v>
      </c>
      <c r="HK36" s="1">
        <v>5166</v>
      </c>
      <c r="HL36" s="1">
        <v>3729</v>
      </c>
      <c r="HM36" s="1">
        <v>10119</v>
      </c>
      <c r="HN36" s="1">
        <v>11965</v>
      </c>
      <c r="HO36" s="1">
        <v>14183</v>
      </c>
      <c r="HP36" s="1">
        <v>19009</v>
      </c>
      <c r="HQ36" s="1">
        <v>25543</v>
      </c>
      <c r="HR36" s="1">
        <v>24258</v>
      </c>
      <c r="HS36" s="1">
        <v>75437</v>
      </c>
      <c r="HT36" s="1">
        <v>63595</v>
      </c>
      <c r="HU36" s="1">
        <v>91659</v>
      </c>
      <c r="HV36" s="1">
        <v>63877</v>
      </c>
      <c r="HW36" s="1">
        <v>134311</v>
      </c>
      <c r="HX36" s="1">
        <v>113162</v>
      </c>
      <c r="HY36" s="1">
        <v>190229</v>
      </c>
      <c r="HZ36" s="1">
        <v>111659</v>
      </c>
      <c r="IA36" s="1">
        <v>109348</v>
      </c>
      <c r="IB36" s="1">
        <v>31344</v>
      </c>
      <c r="IC36" s="1">
        <v>27594</v>
      </c>
      <c r="ID36" s="1">
        <v>252293</v>
      </c>
      <c r="IE36" s="1">
        <v>4490</v>
      </c>
      <c r="IF36" s="1">
        <v>3953</v>
      </c>
      <c r="IG36" s="1">
        <v>6129</v>
      </c>
      <c r="IH36" s="1">
        <v>10178</v>
      </c>
      <c r="II36" s="1">
        <v>5388</v>
      </c>
      <c r="IJ36" s="1">
        <v>9518</v>
      </c>
      <c r="IK36" s="1">
        <v>9840</v>
      </c>
      <c r="IL36" s="1">
        <v>15300</v>
      </c>
      <c r="IM36" s="1">
        <v>15723</v>
      </c>
      <c r="IN36" s="1">
        <v>26918</v>
      </c>
      <c r="IO36" s="1">
        <v>21720</v>
      </c>
      <c r="IP36" s="1">
        <v>31943</v>
      </c>
      <c r="IQ36" s="1">
        <v>31534</v>
      </c>
      <c r="IR36" s="1">
        <v>34444</v>
      </c>
      <c r="IS36" s="1">
        <v>36383</v>
      </c>
      <c r="IT36" s="1">
        <v>80372</v>
      </c>
      <c r="IU36" s="1">
        <v>68492</v>
      </c>
      <c r="IV36" s="1">
        <v>136095</v>
      </c>
      <c r="IW36">
        <v>75815</v>
      </c>
      <c r="IX36">
        <v>70453</v>
      </c>
      <c r="IY36">
        <v>19485</v>
      </c>
      <c r="IZ36">
        <v>28668</v>
      </c>
      <c r="JA36">
        <v>919</v>
      </c>
      <c r="JB36">
        <v>1038043</v>
      </c>
      <c r="JC36">
        <v>57251</v>
      </c>
      <c r="JD36">
        <v>15695</v>
      </c>
      <c r="JE36">
        <v>8982</v>
      </c>
      <c r="JF36">
        <v>5395</v>
      </c>
      <c r="JG36">
        <v>3666</v>
      </c>
      <c r="JH36">
        <v>3214</v>
      </c>
      <c r="JI36">
        <v>4039</v>
      </c>
      <c r="JJ36">
        <v>30918</v>
      </c>
      <c r="JK36">
        <v>904</v>
      </c>
      <c r="JL36">
        <v>371494</v>
      </c>
      <c r="JM36">
        <v>58905</v>
      </c>
      <c r="JN36">
        <v>54092</v>
      </c>
      <c r="JO36">
        <v>75791</v>
      </c>
      <c r="JP36">
        <v>64760</v>
      </c>
      <c r="JQ36">
        <v>46102</v>
      </c>
      <c r="JR36">
        <v>39884</v>
      </c>
      <c r="JS36">
        <v>40277</v>
      </c>
      <c r="JT36">
        <v>14435</v>
      </c>
      <c r="JU36">
        <v>601</v>
      </c>
      <c r="JV36">
        <v>77242</v>
      </c>
      <c r="JW36">
        <v>93972</v>
      </c>
      <c r="JX36">
        <v>190579</v>
      </c>
      <c r="JY36">
        <v>265575</v>
      </c>
      <c r="JZ36">
        <v>282697</v>
      </c>
      <c r="KA36">
        <v>257376</v>
      </c>
      <c r="KB36">
        <v>386096</v>
      </c>
      <c r="KC36">
        <v>172314</v>
      </c>
      <c r="KD36">
        <v>208597</v>
      </c>
      <c r="KE36">
        <v>107073</v>
      </c>
      <c r="KF36">
        <v>4610</v>
      </c>
      <c r="KG36">
        <v>226357</v>
      </c>
      <c r="KH36">
        <v>354578</v>
      </c>
      <c r="KI36">
        <v>112575</v>
      </c>
      <c r="KJ36">
        <v>360592</v>
      </c>
      <c r="KK36">
        <v>156963</v>
      </c>
      <c r="KL36">
        <v>19998</v>
      </c>
      <c r="KM36">
        <v>49535</v>
      </c>
      <c r="KN36">
        <v>87749</v>
      </c>
      <c r="KO36">
        <v>49360</v>
      </c>
      <c r="KP36">
        <v>104075</v>
      </c>
      <c r="KQ36">
        <v>1339</v>
      </c>
      <c r="KR36">
        <v>186277</v>
      </c>
      <c r="KS36">
        <v>200458</v>
      </c>
      <c r="KT36">
        <v>345615</v>
      </c>
      <c r="KU36">
        <v>57945</v>
      </c>
      <c r="KV36">
        <v>231235</v>
      </c>
      <c r="KW36">
        <v>168304</v>
      </c>
      <c r="KX36">
        <v>119270</v>
      </c>
      <c r="KY36">
        <v>2153759</v>
      </c>
      <c r="KZ36">
        <v>60467</v>
      </c>
      <c r="LA36">
        <v>156843</v>
      </c>
      <c r="LB36">
        <v>230367</v>
      </c>
      <c r="LC36">
        <v>91205</v>
      </c>
      <c r="LD36">
        <v>56800</v>
      </c>
      <c r="LE36">
        <v>190358</v>
      </c>
      <c r="LF36">
        <v>4109</v>
      </c>
      <c r="LG36">
        <v>681570</v>
      </c>
      <c r="LH36">
        <v>225142</v>
      </c>
      <c r="LI36">
        <v>883471</v>
      </c>
      <c r="LJ36">
        <v>9294</v>
      </c>
      <c r="LK36">
        <v>39321</v>
      </c>
      <c r="LL36">
        <v>22696</v>
      </c>
      <c r="LM36">
        <v>61930</v>
      </c>
      <c r="LN36">
        <v>2386</v>
      </c>
      <c r="LO36">
        <v>8638</v>
      </c>
      <c r="LP36">
        <v>6184.9765600000001</v>
      </c>
      <c r="LQ36">
        <v>1234.4007999999999</v>
      </c>
    </row>
    <row r="37" spans="1:329" x14ac:dyDescent="0.25">
      <c r="A37" s="5" t="s">
        <v>359</v>
      </c>
      <c r="B37" s="5" t="s">
        <v>292</v>
      </c>
      <c r="C37" s="1">
        <v>3215166</v>
      </c>
      <c r="D37" s="1">
        <v>3214729</v>
      </c>
      <c r="E37" s="1">
        <v>3185274</v>
      </c>
      <c r="F37" s="1">
        <v>3188434</v>
      </c>
      <c r="G37" s="1">
        <v>3222399</v>
      </c>
      <c r="H37" s="1">
        <v>1298746</v>
      </c>
      <c r="I37" s="1">
        <v>1351442</v>
      </c>
      <c r="J37" s="1">
        <v>1368674</v>
      </c>
      <c r="K37" s="1">
        <v>1436074</v>
      </c>
      <c r="L37" s="1">
        <v>1463368</v>
      </c>
      <c r="M37" s="1">
        <v>1518917</v>
      </c>
      <c r="N37" s="1">
        <v>946268</v>
      </c>
      <c r="O37" s="1">
        <v>489807</v>
      </c>
      <c r="P37" s="1">
        <v>82842</v>
      </c>
      <c r="Q37" s="1">
        <v>121917</v>
      </c>
      <c r="R37" s="1">
        <v>19207</v>
      </c>
      <c r="S37" s="1">
        <v>108</v>
      </c>
      <c r="T37" s="1">
        <v>2413462</v>
      </c>
      <c r="U37" s="1">
        <v>735251</v>
      </c>
      <c r="V37" s="1">
        <v>39721</v>
      </c>
      <c r="W37" s="1">
        <v>3354</v>
      </c>
      <c r="X37" s="1">
        <v>35</v>
      </c>
      <c r="Y37" s="2">
        <v>41.07</v>
      </c>
      <c r="Z37" s="1">
        <v>169271</v>
      </c>
      <c r="AA37" s="1">
        <v>164661</v>
      </c>
      <c r="AB37" s="1">
        <v>171417</v>
      </c>
      <c r="AC37" s="1">
        <v>170204</v>
      </c>
      <c r="AD37" s="1">
        <v>186618</v>
      </c>
      <c r="AE37" s="1">
        <v>232833</v>
      </c>
      <c r="AF37" s="1">
        <v>222114</v>
      </c>
      <c r="AG37" s="1">
        <v>202722</v>
      </c>
      <c r="AH37" s="1">
        <v>179241</v>
      </c>
      <c r="AI37" s="1">
        <v>194965</v>
      </c>
      <c r="AJ37" s="1">
        <v>211402</v>
      </c>
      <c r="AK37" s="1">
        <v>236315</v>
      </c>
      <c r="AL37" s="1">
        <v>223323</v>
      </c>
      <c r="AM37" s="1">
        <v>188899</v>
      </c>
      <c r="AN37" s="1">
        <v>154734</v>
      </c>
      <c r="AO37" s="1">
        <v>111805</v>
      </c>
      <c r="AP37" s="1">
        <v>78086</v>
      </c>
      <c r="AQ37" s="1">
        <v>89826</v>
      </c>
      <c r="AR37" s="1">
        <v>1546575</v>
      </c>
      <c r="AS37" s="1">
        <v>1641859</v>
      </c>
      <c r="AT37" s="1">
        <v>2571090</v>
      </c>
      <c r="AU37" s="1">
        <v>195322</v>
      </c>
      <c r="AV37" s="1">
        <v>10844</v>
      </c>
      <c r="AW37" s="1">
        <v>90183</v>
      </c>
      <c r="AX37" s="1">
        <v>1411</v>
      </c>
      <c r="AY37" s="1">
        <v>3639</v>
      </c>
      <c r="AZ37" s="1">
        <v>63965</v>
      </c>
      <c r="BA37" s="1">
        <v>252342</v>
      </c>
      <c r="BB37" s="1">
        <v>2683086</v>
      </c>
      <c r="BC37" s="1">
        <v>884364</v>
      </c>
      <c r="BD37" s="1">
        <v>1153528</v>
      </c>
      <c r="BE37" s="1">
        <v>102210</v>
      </c>
      <c r="BF37" s="1">
        <v>188935</v>
      </c>
      <c r="BG37" s="1">
        <v>354049</v>
      </c>
      <c r="BH37" s="1">
        <v>2326265</v>
      </c>
      <c r="BI37" s="1">
        <v>71626</v>
      </c>
      <c r="BJ37" s="1">
        <v>141031</v>
      </c>
      <c r="BK37" s="1">
        <v>740390</v>
      </c>
      <c r="BL37" s="1">
        <v>459133</v>
      </c>
      <c r="BM37" s="1">
        <v>226174</v>
      </c>
      <c r="BN37" s="1">
        <v>427234</v>
      </c>
      <c r="BO37" s="1">
        <v>260677</v>
      </c>
      <c r="BP37" s="1">
        <v>2651937</v>
      </c>
      <c r="BQ37" s="1">
        <v>3675</v>
      </c>
      <c r="BR37" s="1">
        <v>1660822</v>
      </c>
      <c r="BS37" s="1">
        <v>58298</v>
      </c>
      <c r="BT37" s="1">
        <v>929142</v>
      </c>
      <c r="BU37" s="1">
        <v>822953</v>
      </c>
      <c r="BV37" s="1">
        <v>613121</v>
      </c>
      <c r="BW37" s="1">
        <v>217995</v>
      </c>
      <c r="BX37" s="1">
        <v>36574</v>
      </c>
      <c r="BY37" s="1">
        <v>100918</v>
      </c>
      <c r="BZ37" s="1">
        <v>369918</v>
      </c>
      <c r="CA37" s="1">
        <v>29913</v>
      </c>
      <c r="CB37" s="1">
        <v>67363</v>
      </c>
      <c r="CC37" s="2">
        <v>2.19</v>
      </c>
      <c r="CD37" s="1">
        <v>512457</v>
      </c>
      <c r="CE37" s="1">
        <v>489961</v>
      </c>
      <c r="CF37" s="1">
        <v>198395</v>
      </c>
      <c r="CG37" s="1">
        <v>143469</v>
      </c>
      <c r="CH37" s="1">
        <v>59223</v>
      </c>
      <c r="CI37" s="1">
        <v>20905</v>
      </c>
      <c r="CJ37" s="1">
        <v>11664</v>
      </c>
      <c r="CK37" s="2">
        <v>53.99</v>
      </c>
      <c r="CL37" s="1">
        <v>48348</v>
      </c>
      <c r="CM37" s="1">
        <v>214818</v>
      </c>
      <c r="CN37" s="1">
        <v>213563</v>
      </c>
      <c r="CO37" s="1">
        <v>241568</v>
      </c>
      <c r="CP37" s="1">
        <v>288997</v>
      </c>
      <c r="CQ37" s="1">
        <v>229206</v>
      </c>
      <c r="CR37" s="1">
        <v>134489</v>
      </c>
      <c r="CS37" s="1">
        <v>65085</v>
      </c>
      <c r="CT37" s="1">
        <v>114862</v>
      </c>
      <c r="CU37" s="1">
        <v>551581</v>
      </c>
      <c r="CV37" s="1">
        <v>769632</v>
      </c>
      <c r="CW37" s="1">
        <v>33719</v>
      </c>
      <c r="CX37" s="1">
        <v>60486</v>
      </c>
      <c r="CY37" s="1">
        <v>78494</v>
      </c>
      <c r="CZ37" s="1">
        <v>71824</v>
      </c>
      <c r="DA37" s="1">
        <v>59065</v>
      </c>
      <c r="DB37" s="1">
        <v>66777</v>
      </c>
      <c r="DC37" s="1">
        <v>71096</v>
      </c>
      <c r="DD37" s="1">
        <v>64621</v>
      </c>
      <c r="DE37" s="1">
        <v>64673</v>
      </c>
      <c r="DF37" s="1">
        <v>64092</v>
      </c>
      <c r="DG37" s="1">
        <v>65979</v>
      </c>
      <c r="DH37" s="1">
        <v>62542</v>
      </c>
      <c r="DI37" s="1">
        <v>122021</v>
      </c>
      <c r="DJ37" s="1">
        <v>164557</v>
      </c>
      <c r="DK37" s="1">
        <v>217923</v>
      </c>
      <c r="DL37" s="1">
        <v>116656</v>
      </c>
      <c r="DM37" s="1">
        <v>89639</v>
      </c>
      <c r="DN37" s="1">
        <v>81503</v>
      </c>
      <c r="DO37" s="1">
        <v>53104</v>
      </c>
      <c r="DP37" s="1">
        <v>42003</v>
      </c>
      <c r="DQ37" s="1">
        <v>61246</v>
      </c>
      <c r="DR37" s="1">
        <v>71018</v>
      </c>
      <c r="DS37" s="1">
        <v>74483</v>
      </c>
      <c r="DT37" s="1">
        <v>67762</v>
      </c>
      <c r="DU37" s="1">
        <v>54415</v>
      </c>
      <c r="DV37" s="1">
        <v>40358</v>
      </c>
      <c r="DW37" s="2">
        <v>57343.01</v>
      </c>
      <c r="DX37" s="2">
        <v>27097.27</v>
      </c>
      <c r="DY37" s="2">
        <v>1835.62</v>
      </c>
      <c r="DZ37" s="2">
        <v>393.13</v>
      </c>
      <c r="EA37" s="2">
        <v>1994.56</v>
      </c>
      <c r="EB37" s="2">
        <v>1612.94</v>
      </c>
      <c r="EC37" s="2">
        <v>3207.63</v>
      </c>
      <c r="ED37" s="2">
        <v>8490.66</v>
      </c>
      <c r="EE37" s="2">
        <v>4956.1000000000004</v>
      </c>
      <c r="EF37" s="2">
        <v>1998.71</v>
      </c>
      <c r="EG37" s="2">
        <v>12102.68</v>
      </c>
      <c r="EH37" s="2">
        <v>2237.5300000000002</v>
      </c>
      <c r="EI37" s="2">
        <v>1086.6400000000001</v>
      </c>
      <c r="EJ37" s="2">
        <v>771</v>
      </c>
      <c r="EK37" s="2">
        <v>125.6</v>
      </c>
      <c r="EL37" s="2">
        <v>366.96</v>
      </c>
      <c r="EM37" s="2">
        <v>10459.790000000001</v>
      </c>
      <c r="EN37" s="2">
        <v>4338</v>
      </c>
      <c r="EO37" s="2">
        <v>1365.46</v>
      </c>
      <c r="EP37" s="1">
        <v>38786</v>
      </c>
      <c r="EQ37" s="1">
        <v>4901</v>
      </c>
      <c r="ER37" s="1">
        <v>1260</v>
      </c>
      <c r="ES37" s="1">
        <v>7503</v>
      </c>
      <c r="ET37" s="1">
        <v>36909</v>
      </c>
      <c r="EU37" s="1">
        <v>60041</v>
      </c>
      <c r="EV37" s="1">
        <v>117651</v>
      </c>
      <c r="EW37" s="1">
        <v>6885</v>
      </c>
      <c r="EX37" s="1">
        <v>20955</v>
      </c>
      <c r="EY37" s="1">
        <v>2583</v>
      </c>
      <c r="EZ37" s="1">
        <v>295639</v>
      </c>
      <c r="FA37" s="1">
        <v>19035</v>
      </c>
      <c r="FB37" s="1">
        <v>142052</v>
      </c>
      <c r="FC37" s="1">
        <v>42307</v>
      </c>
      <c r="FD37" s="1">
        <v>14195</v>
      </c>
      <c r="FE37" s="1">
        <v>89576</v>
      </c>
      <c r="FF37" s="1">
        <v>3871</v>
      </c>
      <c r="FG37" s="1">
        <v>354958</v>
      </c>
      <c r="FH37" s="1">
        <v>54922</v>
      </c>
      <c r="FI37" s="1">
        <v>13964</v>
      </c>
      <c r="FJ37" s="1">
        <v>595</v>
      </c>
      <c r="FK37" s="1">
        <v>2596</v>
      </c>
      <c r="FL37" s="1">
        <v>7600</v>
      </c>
      <c r="FM37" s="1">
        <v>1157</v>
      </c>
      <c r="FN37" s="1">
        <v>92120</v>
      </c>
      <c r="FO37" s="1">
        <v>560521</v>
      </c>
      <c r="FP37" s="1">
        <v>90</v>
      </c>
      <c r="FQ37" s="1">
        <v>69</v>
      </c>
      <c r="FR37" s="1">
        <v>54</v>
      </c>
      <c r="FS37" s="1">
        <v>87</v>
      </c>
      <c r="FT37" s="1">
        <v>68</v>
      </c>
      <c r="FU37" s="1">
        <v>67</v>
      </c>
      <c r="FV37" s="1">
        <v>93</v>
      </c>
      <c r="FW37" s="1">
        <v>79</v>
      </c>
      <c r="FX37" s="1">
        <v>101</v>
      </c>
      <c r="FY37" s="1">
        <v>62</v>
      </c>
      <c r="FZ37" s="3">
        <v>-0.19800000000000001</v>
      </c>
      <c r="GA37" s="3">
        <v>-0.26</v>
      </c>
      <c r="GB37" s="3">
        <v>0.26800000000000002</v>
      </c>
      <c r="GC37" s="3">
        <v>-0.35099999999999998</v>
      </c>
      <c r="GD37" s="3">
        <v>0.371</v>
      </c>
      <c r="GE37" s="3">
        <v>0.51500000000000001</v>
      </c>
      <c r="GF37" s="3">
        <v>-0.252</v>
      </c>
      <c r="GG37" s="3">
        <v>0.108</v>
      </c>
      <c r="GH37" s="3">
        <v>-0.7</v>
      </c>
      <c r="GI37" s="3">
        <v>-9.0999999999999998E-2</v>
      </c>
      <c r="GJ37" s="3">
        <v>-0.34</v>
      </c>
      <c r="GK37" s="3">
        <v>-0.21099999999999999</v>
      </c>
      <c r="GL37" s="3">
        <v>-0.26</v>
      </c>
      <c r="GM37" s="3">
        <v>-0.20699999999999999</v>
      </c>
      <c r="GN37" s="3">
        <v>-3.5999999999999997E-2</v>
      </c>
      <c r="GO37" s="3">
        <v>-4.0000000000000001E-3</v>
      </c>
      <c r="GP37" s="3">
        <v>-0.45100000000000001</v>
      </c>
      <c r="GQ37" s="3">
        <v>6.6000000000000003E-2</v>
      </c>
      <c r="GR37" s="3">
        <v>0.252</v>
      </c>
      <c r="GS37" s="3">
        <v>-0.41799999999999998</v>
      </c>
      <c r="GT37" s="3">
        <v>-6.6000000000000003E-2</v>
      </c>
      <c r="GU37" s="3">
        <v>0.11899999999999999</v>
      </c>
      <c r="GV37" s="3">
        <v>-7.6999999999999999E-2</v>
      </c>
      <c r="GW37" s="3">
        <v>9.0999999999999998E-2</v>
      </c>
      <c r="GX37" s="3">
        <v>-7.6999999999999999E-2</v>
      </c>
      <c r="GY37" s="3">
        <v>-0.11600000000000001</v>
      </c>
      <c r="GZ37" s="4">
        <v>99</v>
      </c>
      <c r="HA37" s="4">
        <v>96</v>
      </c>
      <c r="HB37" s="4">
        <v>102</v>
      </c>
      <c r="HC37" s="4">
        <v>115</v>
      </c>
      <c r="HD37" s="4">
        <v>106</v>
      </c>
      <c r="HE37" s="4">
        <v>80</v>
      </c>
      <c r="HF37" s="1">
        <v>6059</v>
      </c>
      <c r="HG37" s="1">
        <v>6033</v>
      </c>
      <c r="HH37" s="1">
        <v>5536</v>
      </c>
      <c r="HI37" s="1">
        <v>4882</v>
      </c>
      <c r="HJ37" s="1">
        <v>3892</v>
      </c>
      <c r="HK37" s="1">
        <v>4098</v>
      </c>
      <c r="HL37" s="1">
        <v>3132</v>
      </c>
      <c r="HM37" s="1">
        <v>8953</v>
      </c>
      <c r="HN37" s="1">
        <v>13106</v>
      </c>
      <c r="HO37" s="1">
        <v>17188</v>
      </c>
      <c r="HP37" s="1">
        <v>24133</v>
      </c>
      <c r="HQ37" s="1">
        <v>33294</v>
      </c>
      <c r="HR37" s="1">
        <v>34806</v>
      </c>
      <c r="HS37" s="1">
        <v>98234</v>
      </c>
      <c r="HT37" s="1">
        <v>92832</v>
      </c>
      <c r="HU37" s="1">
        <v>121279</v>
      </c>
      <c r="HV37" s="1">
        <v>91074</v>
      </c>
      <c r="HW37" s="1">
        <v>133672</v>
      </c>
      <c r="HX37" s="1">
        <v>76372</v>
      </c>
      <c r="HY37" s="1">
        <v>65246</v>
      </c>
      <c r="HZ37" s="1">
        <v>26101</v>
      </c>
      <c r="IA37" s="1">
        <v>23408</v>
      </c>
      <c r="IB37" s="1">
        <v>6852</v>
      </c>
      <c r="IC37" s="1">
        <v>7144</v>
      </c>
      <c r="ID37" s="1">
        <v>170094</v>
      </c>
      <c r="IE37" s="1">
        <v>4043</v>
      </c>
      <c r="IF37" s="1">
        <v>4467</v>
      </c>
      <c r="IG37" s="1">
        <v>7281</v>
      </c>
      <c r="IH37" s="1">
        <v>9845</v>
      </c>
      <c r="II37" s="1">
        <v>8470</v>
      </c>
      <c r="IJ37" s="1">
        <v>11427</v>
      </c>
      <c r="IK37" s="1">
        <v>14635</v>
      </c>
      <c r="IL37" s="1">
        <v>23535</v>
      </c>
      <c r="IM37" s="1">
        <v>25725</v>
      </c>
      <c r="IN37" s="1">
        <v>35922</v>
      </c>
      <c r="IO37" s="1">
        <v>31074</v>
      </c>
      <c r="IP37" s="1">
        <v>36734</v>
      </c>
      <c r="IQ37" s="1">
        <v>34629</v>
      </c>
      <c r="IR37" s="1">
        <v>31496</v>
      </c>
      <c r="IS37" s="1">
        <v>26277</v>
      </c>
      <c r="IT37" s="1">
        <v>44935</v>
      </c>
      <c r="IU37" s="1">
        <v>27240</v>
      </c>
      <c r="IV37" s="1">
        <v>34001</v>
      </c>
      <c r="IW37">
        <v>11718</v>
      </c>
      <c r="IX37">
        <v>8359</v>
      </c>
      <c r="IY37">
        <v>4128</v>
      </c>
      <c r="IZ37">
        <v>24700</v>
      </c>
      <c r="JA37">
        <v>648</v>
      </c>
      <c r="JB37">
        <v>759892</v>
      </c>
      <c r="JC37">
        <v>128887</v>
      </c>
      <c r="JD37">
        <v>40435</v>
      </c>
      <c r="JE37">
        <v>12493</v>
      </c>
      <c r="JF37">
        <v>8656</v>
      </c>
      <c r="JG37">
        <v>6470</v>
      </c>
      <c r="JH37">
        <v>6298</v>
      </c>
      <c r="JI37">
        <v>5836</v>
      </c>
      <c r="JJ37">
        <v>21407</v>
      </c>
      <c r="JK37">
        <v>201</v>
      </c>
      <c r="JL37">
        <v>86438</v>
      </c>
      <c r="JM37">
        <v>44034</v>
      </c>
      <c r="JN37">
        <v>99502</v>
      </c>
      <c r="JO37">
        <v>91194</v>
      </c>
      <c r="JP37">
        <v>61658</v>
      </c>
      <c r="JQ37">
        <v>38928</v>
      </c>
      <c r="JR37">
        <v>32586</v>
      </c>
      <c r="JS37">
        <v>34266</v>
      </c>
      <c r="JT37">
        <v>6283</v>
      </c>
      <c r="JU37">
        <v>267</v>
      </c>
      <c r="JV37">
        <v>38782</v>
      </c>
      <c r="JW37">
        <v>47567</v>
      </c>
      <c r="JX37">
        <v>94354</v>
      </c>
      <c r="JY37">
        <v>123771</v>
      </c>
      <c r="JZ37">
        <v>150617</v>
      </c>
      <c r="KA37">
        <v>154374</v>
      </c>
      <c r="KB37">
        <v>273598</v>
      </c>
      <c r="KC37">
        <v>141680</v>
      </c>
      <c r="KD37">
        <v>460988</v>
      </c>
      <c r="KE37">
        <v>9080</v>
      </c>
      <c r="KF37">
        <v>2470</v>
      </c>
      <c r="KG37">
        <v>99502</v>
      </c>
      <c r="KH37">
        <v>181609</v>
      </c>
      <c r="KI37">
        <v>45772</v>
      </c>
      <c r="KJ37">
        <v>208234</v>
      </c>
      <c r="KK37">
        <v>64482</v>
      </c>
      <c r="KL37">
        <v>14314</v>
      </c>
      <c r="KM37">
        <v>31757</v>
      </c>
      <c r="KN37">
        <v>81792</v>
      </c>
      <c r="KO37">
        <v>24838</v>
      </c>
      <c r="KP37">
        <v>81395</v>
      </c>
      <c r="KQ37">
        <v>1061</v>
      </c>
      <c r="KR37">
        <v>58853</v>
      </c>
      <c r="KS37">
        <v>175032</v>
      </c>
      <c r="KT37">
        <v>266344</v>
      </c>
      <c r="KU37">
        <v>33199</v>
      </c>
      <c r="KV37">
        <v>113730</v>
      </c>
      <c r="KW37">
        <v>78534</v>
      </c>
      <c r="KX37">
        <v>97227</v>
      </c>
      <c r="KY37">
        <v>1083179</v>
      </c>
      <c r="KZ37">
        <v>41735</v>
      </c>
      <c r="LA37">
        <v>177744</v>
      </c>
      <c r="LB37">
        <v>152043</v>
      </c>
      <c r="LC37">
        <v>86040</v>
      </c>
      <c r="LD37">
        <v>40156</v>
      </c>
      <c r="LE37">
        <v>86594</v>
      </c>
      <c r="LF37">
        <v>1734</v>
      </c>
      <c r="LG37">
        <v>1299062</v>
      </c>
      <c r="LH37">
        <v>10834</v>
      </c>
      <c r="LI37">
        <v>55440</v>
      </c>
      <c r="LJ37">
        <v>17030</v>
      </c>
      <c r="LK37">
        <v>76046</v>
      </c>
      <c r="LL37">
        <v>5284</v>
      </c>
      <c r="LM37">
        <v>12906</v>
      </c>
      <c r="LN37">
        <v>1781</v>
      </c>
      <c r="LO37">
        <v>7348</v>
      </c>
      <c r="LP37">
        <v>4382.5327100000004</v>
      </c>
      <c r="LQ37">
        <v>792.32174999999995</v>
      </c>
    </row>
    <row r="38" spans="1:329" x14ac:dyDescent="0.25">
      <c r="A38" s="5" t="s">
        <v>360</v>
      </c>
      <c r="B38" s="5" t="s">
        <v>293</v>
      </c>
      <c r="C38" s="1">
        <v>7012012</v>
      </c>
      <c r="D38" s="1">
        <v>6969588</v>
      </c>
      <c r="E38" s="1">
        <v>6792534</v>
      </c>
      <c r="F38" s="1">
        <v>6665855</v>
      </c>
      <c r="G38" s="1">
        <v>6703792</v>
      </c>
      <c r="H38" s="1">
        <v>2801134</v>
      </c>
      <c r="I38" s="1">
        <v>2883327</v>
      </c>
      <c r="J38" s="1">
        <v>2861337</v>
      </c>
      <c r="K38" s="1">
        <v>2963416</v>
      </c>
      <c r="L38" s="1">
        <v>3003388</v>
      </c>
      <c r="M38" s="1">
        <v>3229699</v>
      </c>
      <c r="N38" s="1">
        <v>2015531</v>
      </c>
      <c r="O38" s="1">
        <v>947885</v>
      </c>
      <c r="P38" s="1">
        <v>266283</v>
      </c>
      <c r="Q38" s="1">
        <v>331292</v>
      </c>
      <c r="R38" s="1">
        <v>40951</v>
      </c>
      <c r="S38" s="1">
        <v>428</v>
      </c>
      <c r="T38" s="1">
        <v>5199734</v>
      </c>
      <c r="U38" s="1">
        <v>1396954</v>
      </c>
      <c r="V38" s="1">
        <v>69167</v>
      </c>
      <c r="W38" s="1">
        <v>9981</v>
      </c>
      <c r="X38" s="1">
        <v>75</v>
      </c>
      <c r="Y38" s="2">
        <v>39.700000000000003</v>
      </c>
      <c r="Z38" s="1">
        <v>397199</v>
      </c>
      <c r="AA38" s="1">
        <v>389451</v>
      </c>
      <c r="AB38" s="1">
        <v>400445</v>
      </c>
      <c r="AC38" s="1">
        <v>388111</v>
      </c>
      <c r="AD38" s="1">
        <v>408148</v>
      </c>
      <c r="AE38" s="1">
        <v>468266</v>
      </c>
      <c r="AF38" s="1">
        <v>425964</v>
      </c>
      <c r="AG38" s="1">
        <v>404296</v>
      </c>
      <c r="AH38" s="1">
        <v>366220</v>
      </c>
      <c r="AI38" s="1">
        <v>395684</v>
      </c>
      <c r="AJ38" s="1">
        <v>416653</v>
      </c>
      <c r="AK38" s="1">
        <v>465334</v>
      </c>
      <c r="AL38" s="1">
        <v>450860</v>
      </c>
      <c r="AM38" s="1">
        <v>391097</v>
      </c>
      <c r="AN38" s="1">
        <v>324580</v>
      </c>
      <c r="AO38" s="1">
        <v>238907</v>
      </c>
      <c r="AP38" s="1">
        <v>165534</v>
      </c>
      <c r="AQ38" s="1">
        <v>169109</v>
      </c>
      <c r="AR38" s="1">
        <v>3253055</v>
      </c>
      <c r="AS38" s="1">
        <v>3412800</v>
      </c>
      <c r="AT38" s="1">
        <v>5763920</v>
      </c>
      <c r="AU38" s="1">
        <v>300414</v>
      </c>
      <c r="AV38" s="1">
        <v>33554</v>
      </c>
      <c r="AW38" s="1">
        <v>76077</v>
      </c>
      <c r="AX38" s="1">
        <v>2749</v>
      </c>
      <c r="AY38" s="1">
        <v>4153</v>
      </c>
      <c r="AZ38" s="1">
        <v>136903</v>
      </c>
      <c r="BA38" s="1">
        <v>348822</v>
      </c>
      <c r="BB38" s="1">
        <v>5478762</v>
      </c>
      <c r="BC38" s="1">
        <v>1632865</v>
      </c>
      <c r="BD38" s="1">
        <v>2422499</v>
      </c>
      <c r="BE38" s="1">
        <v>209908</v>
      </c>
      <c r="BF38" s="1">
        <v>414714</v>
      </c>
      <c r="BG38" s="1">
        <v>798776</v>
      </c>
      <c r="BH38" s="1">
        <v>4682505</v>
      </c>
      <c r="BI38" s="1">
        <v>164128</v>
      </c>
      <c r="BJ38" s="1">
        <v>380245</v>
      </c>
      <c r="BK38" s="1">
        <v>1789087</v>
      </c>
      <c r="BL38" s="1">
        <v>1006682</v>
      </c>
      <c r="BM38" s="1">
        <v>461165</v>
      </c>
      <c r="BN38" s="1">
        <v>583012</v>
      </c>
      <c r="BO38" s="1">
        <v>298186</v>
      </c>
      <c r="BP38" s="1">
        <v>5405747</v>
      </c>
      <c r="BQ38" s="1">
        <v>5342</v>
      </c>
      <c r="BR38" s="1">
        <v>3163950</v>
      </c>
      <c r="BS38" s="1">
        <v>127501</v>
      </c>
      <c r="BT38" s="1">
        <v>2108954</v>
      </c>
      <c r="BU38" s="1">
        <v>1781147</v>
      </c>
      <c r="BV38" s="1">
        <v>1182269</v>
      </c>
      <c r="BW38" s="1">
        <v>464996</v>
      </c>
      <c r="BX38" s="1">
        <v>90859</v>
      </c>
      <c r="BY38" s="1">
        <v>238310</v>
      </c>
      <c r="BZ38" s="1">
        <v>792939</v>
      </c>
      <c r="CA38" s="1">
        <v>59871</v>
      </c>
      <c r="CB38" s="1">
        <v>133216</v>
      </c>
      <c r="CC38" s="2">
        <v>2.23</v>
      </c>
      <c r="CD38" s="1">
        <v>1009147</v>
      </c>
      <c r="CE38" s="1">
        <v>1034701</v>
      </c>
      <c r="CF38" s="1">
        <v>411583</v>
      </c>
      <c r="CG38" s="1">
        <v>299403</v>
      </c>
      <c r="CH38" s="1">
        <v>133604</v>
      </c>
      <c r="CI38" s="1">
        <v>47946</v>
      </c>
      <c r="CJ38" s="1">
        <v>27030</v>
      </c>
      <c r="CK38" s="2">
        <v>54.11</v>
      </c>
      <c r="CL38" s="1">
        <v>123225</v>
      </c>
      <c r="CM38" s="1">
        <v>434608</v>
      </c>
      <c r="CN38" s="1">
        <v>433266</v>
      </c>
      <c r="CO38" s="1">
        <v>484124</v>
      </c>
      <c r="CP38" s="1">
        <v>578932</v>
      </c>
      <c r="CQ38" s="1">
        <v>483139</v>
      </c>
      <c r="CR38" s="1">
        <v>296445</v>
      </c>
      <c r="CS38" s="1">
        <v>129675</v>
      </c>
      <c r="CT38" s="1">
        <v>221645</v>
      </c>
      <c r="CU38" s="1">
        <v>1079387</v>
      </c>
      <c r="CV38" s="1">
        <v>1662384</v>
      </c>
      <c r="CW38" s="1">
        <v>26466</v>
      </c>
      <c r="CX38" s="1">
        <v>48193</v>
      </c>
      <c r="CY38" s="1">
        <v>61522</v>
      </c>
      <c r="CZ38" s="1">
        <v>190140</v>
      </c>
      <c r="DA38" s="1">
        <v>163192</v>
      </c>
      <c r="DB38" s="1">
        <v>182001</v>
      </c>
      <c r="DC38" s="1">
        <v>192288</v>
      </c>
      <c r="DD38" s="1">
        <v>169404</v>
      </c>
      <c r="DE38" s="1">
        <v>165830</v>
      </c>
      <c r="DF38" s="1">
        <v>161837</v>
      </c>
      <c r="DG38" s="1">
        <v>162772</v>
      </c>
      <c r="DH38" s="1">
        <v>147524</v>
      </c>
      <c r="DI38" s="1">
        <v>275930</v>
      </c>
      <c r="DJ38" s="1">
        <v>332523</v>
      </c>
      <c r="DK38" s="1">
        <v>394051</v>
      </c>
      <c r="DL38" s="1">
        <v>179205</v>
      </c>
      <c r="DM38" s="1">
        <v>114165</v>
      </c>
      <c r="DN38" s="1">
        <v>83653</v>
      </c>
      <c r="DO38" s="1">
        <v>48898</v>
      </c>
      <c r="DP38" s="1">
        <v>35365</v>
      </c>
      <c r="DQ38" s="1">
        <v>50975</v>
      </c>
      <c r="DR38" s="1">
        <v>55917</v>
      </c>
      <c r="DS38" s="1">
        <v>57982</v>
      </c>
      <c r="DT38" s="1">
        <v>53578</v>
      </c>
      <c r="DU38" s="1">
        <v>44288</v>
      </c>
      <c r="DV38" s="1">
        <v>33602</v>
      </c>
      <c r="DW38" s="2">
        <v>48943.22</v>
      </c>
      <c r="DX38" s="2">
        <v>23150.91</v>
      </c>
      <c r="DY38" s="2">
        <v>1528.37</v>
      </c>
      <c r="DZ38" s="2">
        <v>324.29000000000002</v>
      </c>
      <c r="EA38" s="2">
        <v>1683.03</v>
      </c>
      <c r="EB38" s="2">
        <v>1295.97</v>
      </c>
      <c r="EC38" s="2">
        <v>2697.43</v>
      </c>
      <c r="ED38" s="2">
        <v>7293.81</v>
      </c>
      <c r="EE38" s="2">
        <v>4303.3999999999996</v>
      </c>
      <c r="EF38" s="2">
        <v>1680.98</v>
      </c>
      <c r="EG38" s="2">
        <v>10356.530000000001</v>
      </c>
      <c r="EH38" s="2">
        <v>1895.2</v>
      </c>
      <c r="EI38" s="2">
        <v>922.87</v>
      </c>
      <c r="EJ38" s="2">
        <v>656.07</v>
      </c>
      <c r="EK38" s="2">
        <v>106.81</v>
      </c>
      <c r="EL38" s="2">
        <v>334.93</v>
      </c>
      <c r="EM38" s="2">
        <v>8924.24</v>
      </c>
      <c r="EN38" s="2">
        <v>3812.39</v>
      </c>
      <c r="EO38" s="2">
        <v>1126.9000000000001</v>
      </c>
      <c r="EP38" s="1">
        <v>22421</v>
      </c>
      <c r="EQ38" s="1">
        <v>3271</v>
      </c>
      <c r="ER38" s="1">
        <v>672</v>
      </c>
      <c r="ES38" s="1">
        <v>3399</v>
      </c>
      <c r="ET38" s="1">
        <v>16602</v>
      </c>
      <c r="EU38" s="1">
        <v>29119</v>
      </c>
      <c r="EV38" s="1">
        <v>67055</v>
      </c>
      <c r="EW38" s="1">
        <v>5016</v>
      </c>
      <c r="EX38" s="1">
        <v>12571</v>
      </c>
      <c r="EY38" s="1">
        <v>2068</v>
      </c>
      <c r="EZ38" s="1">
        <v>160843</v>
      </c>
      <c r="FA38" s="1">
        <v>16646</v>
      </c>
      <c r="FB38" s="1">
        <v>70703</v>
      </c>
      <c r="FC38" s="1">
        <v>22495</v>
      </c>
      <c r="FD38" s="1">
        <v>13763</v>
      </c>
      <c r="FE38" s="1">
        <v>56920</v>
      </c>
      <c r="FF38" s="1">
        <v>2521</v>
      </c>
      <c r="FG38" s="1">
        <v>233692</v>
      </c>
      <c r="FH38" s="1">
        <v>25473</v>
      </c>
      <c r="FI38" s="1">
        <v>12997</v>
      </c>
      <c r="FJ38" s="1">
        <v>354</v>
      </c>
      <c r="FK38" s="1">
        <v>2086</v>
      </c>
      <c r="FL38" s="1">
        <v>3751</v>
      </c>
      <c r="FM38" s="1">
        <v>785</v>
      </c>
      <c r="FN38" s="1">
        <v>61247</v>
      </c>
      <c r="FO38" s="1">
        <v>334237</v>
      </c>
      <c r="FP38" s="1">
        <v>93</v>
      </c>
      <c r="FQ38" s="1">
        <v>71</v>
      </c>
      <c r="FR38" s="1">
        <v>58</v>
      </c>
      <c r="FS38" s="1">
        <v>104</v>
      </c>
      <c r="FT38" s="1">
        <v>42</v>
      </c>
      <c r="FU38" s="1">
        <v>79</v>
      </c>
      <c r="FV38" s="1">
        <v>96</v>
      </c>
      <c r="FW38" s="1">
        <v>101</v>
      </c>
      <c r="FX38" s="1">
        <v>99</v>
      </c>
      <c r="FY38" s="1">
        <v>57</v>
      </c>
      <c r="FZ38" s="3">
        <v>-0.59599999999999997</v>
      </c>
      <c r="GA38" s="3">
        <v>-3.3000000000000002E-2</v>
      </c>
      <c r="GB38" s="3">
        <v>0.189</v>
      </c>
      <c r="GC38" s="3">
        <v>-0.55400000000000005</v>
      </c>
      <c r="GD38" s="3">
        <v>-0.76800000000000002</v>
      </c>
      <c r="GE38" s="3">
        <v>0.61099999999999999</v>
      </c>
      <c r="GF38" s="3">
        <v>-0.28299999999999997</v>
      </c>
      <c r="GG38" s="3">
        <v>-7.0000000000000007E-2</v>
      </c>
      <c r="GH38" s="3">
        <v>-0.59299999999999997</v>
      </c>
      <c r="GI38" s="3">
        <v>-0.14599999999999999</v>
      </c>
      <c r="GJ38" s="3">
        <v>-2.7E-2</v>
      </c>
      <c r="GK38" s="3">
        <v>-0.222</v>
      </c>
      <c r="GL38" s="3">
        <v>-0.18</v>
      </c>
      <c r="GM38" s="3">
        <v>-0.314</v>
      </c>
      <c r="GN38" s="3">
        <v>-0.182</v>
      </c>
      <c r="GO38" s="3">
        <v>-6.2E-2</v>
      </c>
      <c r="GP38" s="3">
        <v>-0.129</v>
      </c>
      <c r="GQ38" s="3">
        <v>7.0999999999999994E-2</v>
      </c>
      <c r="GR38" s="3">
        <v>1.2999999999999999E-2</v>
      </c>
      <c r="GS38" s="3">
        <v>-0.26700000000000002</v>
      </c>
      <c r="GT38" s="3">
        <v>-4.8000000000000001E-2</v>
      </c>
      <c r="GU38" s="3">
        <v>4.9000000000000002E-2</v>
      </c>
      <c r="GV38" s="3">
        <v>-6.9000000000000006E-2</v>
      </c>
      <c r="GW38" s="3">
        <v>-9.9000000000000005E-2</v>
      </c>
      <c r="GX38" s="3">
        <v>1.9E-2</v>
      </c>
      <c r="GY38" s="3">
        <v>-0.09</v>
      </c>
      <c r="GZ38" s="4">
        <v>88</v>
      </c>
      <c r="HA38" s="4">
        <v>88</v>
      </c>
      <c r="HB38" s="4">
        <v>75</v>
      </c>
      <c r="HC38" s="4">
        <v>112</v>
      </c>
      <c r="HD38" s="4">
        <v>71</v>
      </c>
      <c r="HE38" s="4">
        <v>88</v>
      </c>
      <c r="HF38" s="1">
        <v>40329</v>
      </c>
      <c r="HG38" s="1">
        <v>28325</v>
      </c>
      <c r="HH38" s="1">
        <v>25939</v>
      </c>
      <c r="HI38" s="1">
        <v>29300</v>
      </c>
      <c r="HJ38" s="1">
        <v>27107</v>
      </c>
      <c r="HK38" s="1">
        <v>35672</v>
      </c>
      <c r="HL38" s="1">
        <v>28310</v>
      </c>
      <c r="HM38" s="1">
        <v>87553</v>
      </c>
      <c r="HN38" s="1">
        <v>110622</v>
      </c>
      <c r="HO38" s="1">
        <v>140896</v>
      </c>
      <c r="HP38" s="1">
        <v>164770</v>
      </c>
      <c r="HQ38" s="1">
        <v>182890</v>
      </c>
      <c r="HR38" s="1">
        <v>151079</v>
      </c>
      <c r="HS38" s="1">
        <v>248908</v>
      </c>
      <c r="HT38" s="1">
        <v>156507</v>
      </c>
      <c r="HU38" s="1">
        <v>138226</v>
      </c>
      <c r="HV38" s="1">
        <v>75961</v>
      </c>
      <c r="HW38" s="1">
        <v>98899</v>
      </c>
      <c r="HX38" s="1">
        <v>59511</v>
      </c>
      <c r="HY38" s="1">
        <v>56883</v>
      </c>
      <c r="HZ38" s="1">
        <v>24113</v>
      </c>
      <c r="IA38" s="1">
        <v>23788</v>
      </c>
      <c r="IB38" s="1">
        <v>7400</v>
      </c>
      <c r="IC38" s="1">
        <v>8961</v>
      </c>
      <c r="ID38" s="1">
        <v>94914</v>
      </c>
      <c r="IE38" s="1">
        <v>13563</v>
      </c>
      <c r="IF38" s="1">
        <v>15628</v>
      </c>
      <c r="IG38" s="1">
        <v>21772</v>
      </c>
      <c r="IH38" s="1">
        <v>30243</v>
      </c>
      <c r="II38" s="1">
        <v>36643</v>
      </c>
      <c r="IJ38" s="1">
        <v>61396</v>
      </c>
      <c r="IK38" s="1">
        <v>79337</v>
      </c>
      <c r="IL38" s="1">
        <v>98375</v>
      </c>
      <c r="IM38" s="1">
        <v>91711</v>
      </c>
      <c r="IN38" s="1">
        <v>83425</v>
      </c>
      <c r="IO38" s="1">
        <v>63338</v>
      </c>
      <c r="IP38" s="1">
        <v>54613</v>
      </c>
      <c r="IQ38" s="1">
        <v>42117</v>
      </c>
      <c r="IR38" s="1">
        <v>30465</v>
      </c>
      <c r="IS38" s="1">
        <v>23717</v>
      </c>
      <c r="IT38" s="1">
        <v>33513</v>
      </c>
      <c r="IU38" s="1">
        <v>18087</v>
      </c>
      <c r="IV38" s="1">
        <v>22791</v>
      </c>
      <c r="IW38">
        <v>5494</v>
      </c>
      <c r="IX38">
        <v>5436</v>
      </c>
      <c r="IY38">
        <v>3670</v>
      </c>
      <c r="IZ38">
        <v>56267</v>
      </c>
      <c r="JA38">
        <v>461</v>
      </c>
      <c r="JB38">
        <v>1558802</v>
      </c>
      <c r="JC38">
        <v>54427</v>
      </c>
      <c r="JD38">
        <v>22314</v>
      </c>
      <c r="JE38">
        <v>5377</v>
      </c>
      <c r="JF38">
        <v>2948</v>
      </c>
      <c r="JG38">
        <v>1824</v>
      </c>
      <c r="JH38">
        <v>1488</v>
      </c>
      <c r="JI38">
        <v>2192</v>
      </c>
      <c r="JJ38">
        <v>71675</v>
      </c>
      <c r="JK38">
        <v>537</v>
      </c>
      <c r="JL38">
        <v>318582</v>
      </c>
      <c r="JM38">
        <v>41808</v>
      </c>
      <c r="JN38">
        <v>103421</v>
      </c>
      <c r="JO38">
        <v>90755</v>
      </c>
      <c r="JP38">
        <v>69971</v>
      </c>
      <c r="JQ38">
        <v>41816</v>
      </c>
      <c r="JR38">
        <v>32989</v>
      </c>
      <c r="JS38">
        <v>26523</v>
      </c>
      <c r="JT38">
        <v>28860</v>
      </c>
      <c r="JU38">
        <v>172</v>
      </c>
      <c r="JV38">
        <v>66727</v>
      </c>
      <c r="JW38">
        <v>92087</v>
      </c>
      <c r="JX38">
        <v>191489</v>
      </c>
      <c r="JY38">
        <v>184544</v>
      </c>
      <c r="JZ38">
        <v>295339</v>
      </c>
      <c r="KA38">
        <v>275121</v>
      </c>
      <c r="KB38">
        <v>426721</v>
      </c>
      <c r="KC38">
        <v>240343</v>
      </c>
      <c r="KD38">
        <v>704110</v>
      </c>
      <c r="KE38">
        <v>29419</v>
      </c>
      <c r="KF38">
        <v>13926</v>
      </c>
      <c r="KG38">
        <v>150326</v>
      </c>
      <c r="KH38">
        <v>412359</v>
      </c>
      <c r="KI38">
        <v>66479</v>
      </c>
      <c r="KJ38">
        <v>339893</v>
      </c>
      <c r="KK38">
        <v>110695</v>
      </c>
      <c r="KL38">
        <v>25983</v>
      </c>
      <c r="KM38">
        <v>41108</v>
      </c>
      <c r="KN38">
        <v>91696</v>
      </c>
      <c r="KO38">
        <v>27980</v>
      </c>
      <c r="KP38">
        <v>80757</v>
      </c>
      <c r="KQ38">
        <v>1381</v>
      </c>
      <c r="KR38">
        <v>89655</v>
      </c>
      <c r="KS38">
        <v>213905</v>
      </c>
      <c r="KT38">
        <v>412210</v>
      </c>
      <c r="KU38">
        <v>40779</v>
      </c>
      <c r="KV38">
        <v>183356</v>
      </c>
      <c r="KW38">
        <v>124612</v>
      </c>
      <c r="KX38">
        <v>119971</v>
      </c>
      <c r="KY38">
        <v>1799538</v>
      </c>
      <c r="KZ38">
        <v>49283</v>
      </c>
      <c r="LA38">
        <v>228519</v>
      </c>
      <c r="LB38">
        <v>200085</v>
      </c>
      <c r="LC38">
        <v>114046</v>
      </c>
      <c r="LD38">
        <v>48172</v>
      </c>
      <c r="LE38">
        <v>134025</v>
      </c>
      <c r="LF38">
        <v>2822</v>
      </c>
      <c r="LG38">
        <v>2334753</v>
      </c>
      <c r="LH38">
        <v>11430</v>
      </c>
      <c r="LI38">
        <v>55421</v>
      </c>
      <c r="LJ38">
        <v>6329</v>
      </c>
      <c r="LK38">
        <v>49290</v>
      </c>
      <c r="LL38">
        <v>3108</v>
      </c>
      <c r="LM38">
        <v>9670</v>
      </c>
      <c r="LN38">
        <v>860</v>
      </c>
      <c r="LO38">
        <v>5620</v>
      </c>
      <c r="LP38">
        <v>18394.880860000001</v>
      </c>
      <c r="LQ38">
        <v>316.25886000000003</v>
      </c>
    </row>
    <row r="39" spans="1:329" x14ac:dyDescent="0.25">
      <c r="A39" s="5" t="s">
        <v>361</v>
      </c>
      <c r="B39" s="5" t="s">
        <v>294</v>
      </c>
      <c r="C39" s="1">
        <v>4771881</v>
      </c>
      <c r="D39" s="1">
        <v>4723974</v>
      </c>
      <c r="E39" s="1">
        <v>4604618</v>
      </c>
      <c r="F39" s="1">
        <v>4588850</v>
      </c>
      <c r="G39" s="1">
        <v>4705298</v>
      </c>
      <c r="H39" s="1">
        <v>1875984</v>
      </c>
      <c r="I39" s="1">
        <v>1878051</v>
      </c>
      <c r="J39" s="1">
        <v>1801594</v>
      </c>
      <c r="K39" s="1">
        <v>1883504</v>
      </c>
      <c r="L39" s="1">
        <v>1942143</v>
      </c>
      <c r="M39" s="1">
        <v>2058510</v>
      </c>
      <c r="N39" s="1">
        <v>1130405</v>
      </c>
      <c r="O39" s="1">
        <v>753099</v>
      </c>
      <c r="P39" s="1">
        <v>175006</v>
      </c>
      <c r="Q39" s="1">
        <v>244451</v>
      </c>
      <c r="R39" s="1">
        <v>11506</v>
      </c>
      <c r="S39" s="1">
        <v>157</v>
      </c>
      <c r="T39" s="1">
        <v>3619596</v>
      </c>
      <c r="U39" s="1">
        <v>915876</v>
      </c>
      <c r="V39" s="1">
        <v>53378</v>
      </c>
      <c r="W39" s="1">
        <v>11006</v>
      </c>
      <c r="X39" s="1">
        <v>40</v>
      </c>
      <c r="Y39" s="2">
        <v>33.479999999999997</v>
      </c>
      <c r="Z39" s="1">
        <v>340971</v>
      </c>
      <c r="AA39" s="1">
        <v>323057</v>
      </c>
      <c r="AB39" s="1">
        <v>314241</v>
      </c>
      <c r="AC39" s="1">
        <v>299154</v>
      </c>
      <c r="AD39" s="1">
        <v>333422</v>
      </c>
      <c r="AE39" s="1">
        <v>381781</v>
      </c>
      <c r="AF39" s="1">
        <v>336494</v>
      </c>
      <c r="AG39" s="1">
        <v>301570</v>
      </c>
      <c r="AH39" s="1">
        <v>260347</v>
      </c>
      <c r="AI39" s="1">
        <v>265425</v>
      </c>
      <c r="AJ39" s="1">
        <v>264679</v>
      </c>
      <c r="AK39" s="1">
        <v>276824</v>
      </c>
      <c r="AL39" s="1">
        <v>250885</v>
      </c>
      <c r="AM39" s="1">
        <v>205410</v>
      </c>
      <c r="AN39" s="1">
        <v>162243</v>
      </c>
      <c r="AO39" s="1">
        <v>114598</v>
      </c>
      <c r="AP39" s="1">
        <v>78225</v>
      </c>
      <c r="AQ39" s="1">
        <v>79524</v>
      </c>
      <c r="AR39" s="1">
        <v>2253965</v>
      </c>
      <c r="AS39" s="1">
        <v>2334885</v>
      </c>
      <c r="AT39" s="1">
        <v>3110034</v>
      </c>
      <c r="AU39" s="1">
        <v>575764</v>
      </c>
      <c r="AV39" s="1">
        <v>50797</v>
      </c>
      <c r="AW39" s="1">
        <v>81218</v>
      </c>
      <c r="AX39" s="1">
        <v>4113</v>
      </c>
      <c r="AY39" s="1">
        <v>5607</v>
      </c>
      <c r="AZ39" s="1">
        <v>161966</v>
      </c>
      <c r="BA39" s="1">
        <v>599904</v>
      </c>
      <c r="BB39" s="1">
        <v>3610581</v>
      </c>
      <c r="BC39" s="1">
        <v>1324859</v>
      </c>
      <c r="BD39" s="1">
        <v>1332166</v>
      </c>
      <c r="BE39" s="1">
        <v>175904</v>
      </c>
      <c r="BF39" s="1">
        <v>226269</v>
      </c>
      <c r="BG39" s="1">
        <v>551383</v>
      </c>
      <c r="BH39" s="1">
        <v>2978003</v>
      </c>
      <c r="BI39" s="1">
        <v>156829</v>
      </c>
      <c r="BJ39" s="1">
        <v>313738</v>
      </c>
      <c r="BK39" s="1">
        <v>1082765</v>
      </c>
      <c r="BL39" s="1">
        <v>688946</v>
      </c>
      <c r="BM39" s="1">
        <v>265413</v>
      </c>
      <c r="BN39" s="1">
        <v>321968</v>
      </c>
      <c r="BO39" s="1">
        <v>148344</v>
      </c>
      <c r="BP39" s="1">
        <v>3556242</v>
      </c>
      <c r="BQ39" s="1">
        <v>6162</v>
      </c>
      <c r="BR39" s="1">
        <v>2131485</v>
      </c>
      <c r="BS39" s="1">
        <v>103195</v>
      </c>
      <c r="BT39" s="1">
        <v>1315400</v>
      </c>
      <c r="BU39" s="1">
        <v>1142356</v>
      </c>
      <c r="BV39" s="1">
        <v>741148</v>
      </c>
      <c r="BW39" s="1">
        <v>298525</v>
      </c>
      <c r="BX39" s="1">
        <v>74799</v>
      </c>
      <c r="BY39" s="1">
        <v>229263</v>
      </c>
      <c r="BZ39" s="1">
        <v>390979</v>
      </c>
      <c r="CA39" s="1">
        <v>46484</v>
      </c>
      <c r="CB39" s="1">
        <v>101619</v>
      </c>
      <c r="CC39" s="2">
        <v>2.41</v>
      </c>
      <c r="CD39" s="1">
        <v>606210</v>
      </c>
      <c r="CE39" s="1">
        <v>591108</v>
      </c>
      <c r="CF39" s="1">
        <v>283293</v>
      </c>
      <c r="CG39" s="1">
        <v>210104</v>
      </c>
      <c r="CH39" s="1">
        <v>111084</v>
      </c>
      <c r="CI39" s="1">
        <v>47244</v>
      </c>
      <c r="CJ39" s="1">
        <v>34460</v>
      </c>
      <c r="CK39" s="2">
        <v>49.3</v>
      </c>
      <c r="CL39" s="1">
        <v>105884</v>
      </c>
      <c r="CM39" s="1">
        <v>350830</v>
      </c>
      <c r="CN39" s="1">
        <v>316648</v>
      </c>
      <c r="CO39" s="1">
        <v>317631</v>
      </c>
      <c r="CP39" s="1">
        <v>337314</v>
      </c>
      <c r="CQ39" s="1">
        <v>251218</v>
      </c>
      <c r="CR39" s="1">
        <v>142539</v>
      </c>
      <c r="CS39" s="1">
        <v>61441</v>
      </c>
      <c r="CT39" s="1">
        <v>168837</v>
      </c>
      <c r="CU39" s="1">
        <v>744513</v>
      </c>
      <c r="CV39" s="1">
        <v>970153</v>
      </c>
      <c r="CW39" s="1">
        <v>21186</v>
      </c>
      <c r="CX39" s="1">
        <v>42791</v>
      </c>
      <c r="CY39" s="1">
        <v>52114</v>
      </c>
      <c r="CZ39" s="1">
        <v>150916</v>
      </c>
      <c r="DA39" s="1">
        <v>115591</v>
      </c>
      <c r="DB39" s="1">
        <v>126315</v>
      </c>
      <c r="DC39" s="1">
        <v>135497</v>
      </c>
      <c r="DD39" s="1">
        <v>120369</v>
      </c>
      <c r="DE39" s="1">
        <v>117172</v>
      </c>
      <c r="DF39" s="1">
        <v>113551</v>
      </c>
      <c r="DG39" s="1">
        <v>111663</v>
      </c>
      <c r="DH39" s="1">
        <v>98612</v>
      </c>
      <c r="DI39" s="1">
        <v>178661</v>
      </c>
      <c r="DJ39" s="1">
        <v>205185</v>
      </c>
      <c r="DK39" s="1">
        <v>215882</v>
      </c>
      <c r="DL39" s="1">
        <v>89950</v>
      </c>
      <c r="DM39" s="1">
        <v>50140</v>
      </c>
      <c r="DN39" s="1">
        <v>35191</v>
      </c>
      <c r="DO39" s="1">
        <v>18810</v>
      </c>
      <c r="DP39" s="1">
        <v>31698</v>
      </c>
      <c r="DQ39" s="1">
        <v>45688</v>
      </c>
      <c r="DR39" s="1">
        <v>48551</v>
      </c>
      <c r="DS39" s="1">
        <v>49148</v>
      </c>
      <c r="DT39" s="1">
        <v>45774</v>
      </c>
      <c r="DU39" s="1">
        <v>38321</v>
      </c>
      <c r="DV39" s="1">
        <v>30743</v>
      </c>
      <c r="DW39" s="2">
        <v>44388.07</v>
      </c>
      <c r="DX39" s="2">
        <v>20984.23</v>
      </c>
      <c r="DY39" s="2">
        <v>1351.88</v>
      </c>
      <c r="DZ39" s="2">
        <v>285.58999999999997</v>
      </c>
      <c r="EA39" s="2">
        <v>1532.46</v>
      </c>
      <c r="EB39" s="2">
        <v>1167.0999999999999</v>
      </c>
      <c r="EC39" s="2">
        <v>2421.77</v>
      </c>
      <c r="ED39" s="2">
        <v>6655.54</v>
      </c>
      <c r="EE39" s="2">
        <v>3883.3</v>
      </c>
      <c r="EF39" s="2">
        <v>1508.12</v>
      </c>
      <c r="EG39" s="2">
        <v>9456.9599999999991</v>
      </c>
      <c r="EH39" s="2">
        <v>1706.73</v>
      </c>
      <c r="EI39" s="2">
        <v>831.73</v>
      </c>
      <c r="EJ39" s="2">
        <v>593.80999999999995</v>
      </c>
      <c r="EK39" s="2">
        <v>95.67</v>
      </c>
      <c r="EL39" s="2">
        <v>315.20999999999998</v>
      </c>
      <c r="EM39" s="2">
        <v>8079.89</v>
      </c>
      <c r="EN39" s="2">
        <v>3500.84</v>
      </c>
      <c r="EO39" s="2">
        <v>1001.47</v>
      </c>
      <c r="EP39" s="1">
        <v>17024</v>
      </c>
      <c r="EQ39" s="1">
        <v>2687</v>
      </c>
      <c r="ER39" s="1">
        <v>466</v>
      </c>
      <c r="ES39" s="1">
        <v>2204</v>
      </c>
      <c r="ET39" s="1">
        <v>10996</v>
      </c>
      <c r="EU39" s="1">
        <v>19585</v>
      </c>
      <c r="EV39" s="1">
        <v>49359</v>
      </c>
      <c r="EW39" s="1">
        <v>4254</v>
      </c>
      <c r="EX39" s="1">
        <v>9878</v>
      </c>
      <c r="EY39" s="1">
        <v>1904</v>
      </c>
      <c r="EZ39" s="1">
        <v>117162</v>
      </c>
      <c r="FA39" s="1">
        <v>15442</v>
      </c>
      <c r="FB39" s="1">
        <v>52033</v>
      </c>
      <c r="FC39" s="1">
        <v>16405</v>
      </c>
      <c r="FD39" s="1">
        <v>12945</v>
      </c>
      <c r="FE39" s="1">
        <v>44453</v>
      </c>
      <c r="FF39" s="1">
        <v>2096</v>
      </c>
      <c r="FG39" s="1">
        <v>191977</v>
      </c>
      <c r="FH39" s="1">
        <v>18887</v>
      </c>
      <c r="FI39" s="1">
        <v>12409</v>
      </c>
      <c r="FJ39" s="1">
        <v>268</v>
      </c>
      <c r="FK39" s="1">
        <v>1860</v>
      </c>
      <c r="FL39" s="1">
        <v>2611</v>
      </c>
      <c r="FM39" s="1">
        <v>663</v>
      </c>
      <c r="FN39" s="1">
        <v>50037</v>
      </c>
      <c r="FO39" s="1">
        <v>259216</v>
      </c>
      <c r="FP39" s="1">
        <v>141</v>
      </c>
      <c r="FQ39" s="1">
        <v>138</v>
      </c>
      <c r="FR39" s="1">
        <v>129</v>
      </c>
      <c r="FS39" s="1">
        <v>159</v>
      </c>
      <c r="FT39" s="1">
        <v>101</v>
      </c>
      <c r="FU39" s="1">
        <v>150</v>
      </c>
      <c r="FV39" s="1">
        <v>142</v>
      </c>
      <c r="FW39" s="1">
        <v>182</v>
      </c>
      <c r="FX39" s="1">
        <v>132</v>
      </c>
      <c r="FY39" s="1">
        <v>127</v>
      </c>
      <c r="FZ39" s="3">
        <v>-0.57799999999999996</v>
      </c>
      <c r="GA39" s="3">
        <v>-4.2000000000000003E-2</v>
      </c>
      <c r="GB39" s="3">
        <v>-0.47599999999999998</v>
      </c>
      <c r="GC39" s="3">
        <v>-0.38900000000000001</v>
      </c>
      <c r="GD39" s="3">
        <v>-0.95399999999999996</v>
      </c>
      <c r="GE39" s="3">
        <v>0.155</v>
      </c>
      <c r="GF39" s="3">
        <v>-0.27700000000000002</v>
      </c>
      <c r="GG39" s="3">
        <v>-0.253</v>
      </c>
      <c r="GH39" s="3">
        <v>-0.83899999999999997</v>
      </c>
      <c r="GI39" s="3">
        <v>-0.33400000000000002</v>
      </c>
      <c r="GJ39" s="3">
        <v>8.1000000000000003E-2</v>
      </c>
      <c r="GK39" s="3">
        <v>-7.3999999999999996E-2</v>
      </c>
      <c r="GL39" s="3">
        <v>-0.13900000000000001</v>
      </c>
      <c r="GM39" s="3">
        <v>-0.35299999999999998</v>
      </c>
      <c r="GN39" s="3">
        <v>-0.505</v>
      </c>
      <c r="GO39" s="3">
        <v>-0.115</v>
      </c>
      <c r="GP39" s="3">
        <v>-0.246</v>
      </c>
      <c r="GQ39" s="3">
        <v>0.151</v>
      </c>
      <c r="GR39" s="3">
        <v>-5.2999999999999999E-2</v>
      </c>
      <c r="GS39" s="3">
        <v>-0.28000000000000003</v>
      </c>
      <c r="GT39" s="3">
        <v>-9.4E-2</v>
      </c>
      <c r="GU39" s="3">
        <v>0.191</v>
      </c>
      <c r="GV39" s="3">
        <v>-0.11700000000000001</v>
      </c>
      <c r="GW39" s="3">
        <v>-1.9E-2</v>
      </c>
      <c r="GX39" s="3">
        <v>6.8000000000000005E-2</v>
      </c>
      <c r="GY39" s="3">
        <v>-7.1999999999999995E-2</v>
      </c>
      <c r="GZ39" s="4">
        <v>88</v>
      </c>
      <c r="HA39" s="4">
        <v>88</v>
      </c>
      <c r="HB39" s="4">
        <v>87</v>
      </c>
      <c r="HC39" s="4">
        <v>82</v>
      </c>
      <c r="HD39" s="4">
        <v>96</v>
      </c>
      <c r="HE39" s="4">
        <v>91</v>
      </c>
      <c r="HF39" s="1">
        <v>18009</v>
      </c>
      <c r="HG39" s="1">
        <v>13380</v>
      </c>
      <c r="HH39" s="1">
        <v>13106</v>
      </c>
      <c r="HI39" s="1">
        <v>16575</v>
      </c>
      <c r="HJ39" s="1">
        <v>17166</v>
      </c>
      <c r="HK39" s="1">
        <v>24253</v>
      </c>
      <c r="HL39" s="1">
        <v>19767</v>
      </c>
      <c r="HM39" s="1">
        <v>63718</v>
      </c>
      <c r="HN39" s="1">
        <v>83169</v>
      </c>
      <c r="HO39" s="1">
        <v>107127</v>
      </c>
      <c r="HP39" s="1">
        <v>120075</v>
      </c>
      <c r="HQ39" s="1">
        <v>123410</v>
      </c>
      <c r="HR39" s="1">
        <v>93722</v>
      </c>
      <c r="HS39" s="1">
        <v>120863</v>
      </c>
      <c r="HT39" s="1">
        <v>64575</v>
      </c>
      <c r="HU39" s="1">
        <v>52756</v>
      </c>
      <c r="HV39" s="1">
        <v>28434</v>
      </c>
      <c r="HW39" s="1">
        <v>37594</v>
      </c>
      <c r="HX39" s="1">
        <v>21848</v>
      </c>
      <c r="HY39" s="1">
        <v>21328</v>
      </c>
      <c r="HZ39" s="1">
        <v>9246</v>
      </c>
      <c r="IA39" s="1">
        <v>8809</v>
      </c>
      <c r="IB39" s="1">
        <v>2938</v>
      </c>
      <c r="IC39" s="1">
        <v>3513</v>
      </c>
      <c r="ID39" s="1">
        <v>83754</v>
      </c>
      <c r="IE39" s="1">
        <v>10138</v>
      </c>
      <c r="IF39" s="1">
        <v>8726</v>
      </c>
      <c r="IG39" s="1">
        <v>11600</v>
      </c>
      <c r="IH39" s="1">
        <v>16920</v>
      </c>
      <c r="II39" s="1">
        <v>21561</v>
      </c>
      <c r="IJ39" s="1">
        <v>38330</v>
      </c>
      <c r="IK39" s="1">
        <v>53373</v>
      </c>
      <c r="IL39" s="1">
        <v>72267</v>
      </c>
      <c r="IM39" s="1">
        <v>73483</v>
      </c>
      <c r="IN39" s="1">
        <v>76526</v>
      </c>
      <c r="IO39" s="1">
        <v>61589</v>
      </c>
      <c r="IP39" s="1">
        <v>55471</v>
      </c>
      <c r="IQ39" s="1">
        <v>43650</v>
      </c>
      <c r="IR39" s="1">
        <v>32253</v>
      </c>
      <c r="IS39" s="1">
        <v>24215</v>
      </c>
      <c r="IT39" s="1">
        <v>31274</v>
      </c>
      <c r="IU39" s="1">
        <v>15135</v>
      </c>
      <c r="IV39" s="1">
        <v>16101</v>
      </c>
      <c r="IW39">
        <v>3762</v>
      </c>
      <c r="IX39">
        <v>3513</v>
      </c>
      <c r="IY39">
        <v>2066</v>
      </c>
      <c r="IZ39">
        <v>41708</v>
      </c>
      <c r="JA39">
        <v>517</v>
      </c>
      <c r="JB39">
        <v>1092641</v>
      </c>
      <c r="JC39">
        <v>18647</v>
      </c>
      <c r="JD39">
        <v>15404</v>
      </c>
      <c r="JE39">
        <v>2624</v>
      </c>
      <c r="JF39">
        <v>1023</v>
      </c>
      <c r="JG39">
        <v>913</v>
      </c>
      <c r="JH39">
        <v>977</v>
      </c>
      <c r="JI39">
        <v>1214</v>
      </c>
      <c r="JJ39">
        <v>22860</v>
      </c>
      <c r="JK39">
        <v>327</v>
      </c>
      <c r="JL39">
        <v>424018</v>
      </c>
      <c r="JM39">
        <v>33962</v>
      </c>
      <c r="JN39">
        <v>95123</v>
      </c>
      <c r="JO39">
        <v>63223</v>
      </c>
      <c r="JP39">
        <v>44366</v>
      </c>
      <c r="JQ39">
        <v>27404</v>
      </c>
      <c r="JR39">
        <v>17894</v>
      </c>
      <c r="JS39">
        <v>16485</v>
      </c>
      <c r="JT39">
        <v>12094</v>
      </c>
      <c r="JU39">
        <v>215</v>
      </c>
      <c r="JV39">
        <v>48467</v>
      </c>
      <c r="JW39">
        <v>59136</v>
      </c>
      <c r="JX39">
        <v>113916</v>
      </c>
      <c r="JY39">
        <v>115365</v>
      </c>
      <c r="JZ39">
        <v>187646</v>
      </c>
      <c r="KA39">
        <v>199977</v>
      </c>
      <c r="KB39">
        <v>385117</v>
      </c>
      <c r="KC39">
        <v>222654</v>
      </c>
      <c r="KD39">
        <v>559136</v>
      </c>
      <c r="KE39">
        <v>15638</v>
      </c>
      <c r="KF39">
        <v>7824</v>
      </c>
      <c r="KG39">
        <v>129793</v>
      </c>
      <c r="KH39">
        <v>329946</v>
      </c>
      <c r="KI39">
        <v>55668</v>
      </c>
      <c r="KJ39">
        <v>283651</v>
      </c>
      <c r="KK39">
        <v>92159</v>
      </c>
      <c r="KL39">
        <v>16771</v>
      </c>
      <c r="KM39">
        <v>37971</v>
      </c>
      <c r="KN39">
        <v>75958</v>
      </c>
      <c r="KO39">
        <v>27411</v>
      </c>
      <c r="KP39">
        <v>64576</v>
      </c>
      <c r="KQ39">
        <v>1020</v>
      </c>
      <c r="KR39">
        <v>92293</v>
      </c>
      <c r="KS39">
        <v>142631</v>
      </c>
      <c r="KT39">
        <v>316079</v>
      </c>
      <c r="KU39">
        <v>35180</v>
      </c>
      <c r="KV39">
        <v>189178</v>
      </c>
      <c r="KW39">
        <v>108751</v>
      </c>
      <c r="KX39">
        <v>81387</v>
      </c>
      <c r="KY39">
        <v>1547919</v>
      </c>
      <c r="KZ39">
        <v>31083</v>
      </c>
      <c r="LA39">
        <v>176250</v>
      </c>
      <c r="LB39">
        <v>130530</v>
      </c>
      <c r="LC39">
        <v>75569</v>
      </c>
      <c r="LD39">
        <v>39089</v>
      </c>
      <c r="LE39">
        <v>100992</v>
      </c>
      <c r="LF39">
        <v>2453</v>
      </c>
      <c r="LG39">
        <v>1696276</v>
      </c>
      <c r="LH39">
        <v>31715</v>
      </c>
      <c r="LI39">
        <v>95857</v>
      </c>
      <c r="LJ39">
        <v>5062</v>
      </c>
      <c r="LK39">
        <v>32866</v>
      </c>
      <c r="LL39">
        <v>5464</v>
      </c>
      <c r="LM39">
        <v>13333</v>
      </c>
      <c r="LN39">
        <v>2499</v>
      </c>
      <c r="LO39">
        <v>8342</v>
      </c>
      <c r="LP39">
        <v>2256.6953100000001</v>
      </c>
      <c r="LQ39">
        <v>2176.85878</v>
      </c>
    </row>
    <row r="40" spans="1:329" x14ac:dyDescent="0.25">
      <c r="A40" s="5" t="s">
        <v>362</v>
      </c>
      <c r="B40" s="5" t="s">
        <v>295</v>
      </c>
      <c r="C40" s="1">
        <v>3613144</v>
      </c>
      <c r="D40" s="1">
        <v>3690329</v>
      </c>
      <c r="E40" s="1">
        <v>3664984</v>
      </c>
      <c r="F40" s="1">
        <v>3965924</v>
      </c>
      <c r="G40" s="1">
        <v>4101088</v>
      </c>
      <c r="H40" s="1">
        <v>1662084</v>
      </c>
      <c r="I40" s="1">
        <v>1746835</v>
      </c>
      <c r="J40" s="1">
        <v>1799408</v>
      </c>
      <c r="K40" s="1">
        <v>2026643</v>
      </c>
      <c r="L40" s="1">
        <v>2107681</v>
      </c>
      <c r="M40" s="1">
        <v>2146643</v>
      </c>
      <c r="N40" s="1">
        <v>751314</v>
      </c>
      <c r="O40" s="1">
        <v>1275329</v>
      </c>
      <c r="P40" s="1">
        <v>120000</v>
      </c>
      <c r="Q40" s="1">
        <v>224171</v>
      </c>
      <c r="R40" s="1">
        <v>27254</v>
      </c>
      <c r="S40" s="1">
        <v>148</v>
      </c>
      <c r="T40" s="1">
        <v>2160886</v>
      </c>
      <c r="U40" s="1">
        <v>1693040</v>
      </c>
      <c r="V40" s="1">
        <v>111998</v>
      </c>
      <c r="W40" s="1">
        <v>26354</v>
      </c>
      <c r="X40" s="1">
        <v>3081</v>
      </c>
      <c r="Y40" s="2">
        <v>33.5</v>
      </c>
      <c r="Z40" s="1">
        <v>203018</v>
      </c>
      <c r="AA40" s="1">
        <v>166623</v>
      </c>
      <c r="AB40" s="1">
        <v>153866</v>
      </c>
      <c r="AC40" s="1">
        <v>181589</v>
      </c>
      <c r="AD40" s="1">
        <v>417957</v>
      </c>
      <c r="AE40" s="1">
        <v>502836</v>
      </c>
      <c r="AF40" s="1">
        <v>396779</v>
      </c>
      <c r="AG40" s="1">
        <v>300730</v>
      </c>
      <c r="AH40" s="1">
        <v>229325</v>
      </c>
      <c r="AI40" s="1">
        <v>218393</v>
      </c>
      <c r="AJ40" s="1">
        <v>215606</v>
      </c>
      <c r="AK40" s="1">
        <v>235969</v>
      </c>
      <c r="AL40" s="1">
        <v>218503</v>
      </c>
      <c r="AM40" s="1">
        <v>173230</v>
      </c>
      <c r="AN40" s="1">
        <v>128079</v>
      </c>
      <c r="AO40" s="1">
        <v>87763</v>
      </c>
      <c r="AP40" s="1">
        <v>61229</v>
      </c>
      <c r="AQ40" s="1">
        <v>74429</v>
      </c>
      <c r="AR40" s="1">
        <v>2003819</v>
      </c>
      <c r="AS40" s="1">
        <v>1962104</v>
      </c>
      <c r="AT40" s="1">
        <v>2707516</v>
      </c>
      <c r="AU40" s="1">
        <v>445780</v>
      </c>
      <c r="AV40" s="1">
        <v>22907</v>
      </c>
      <c r="AW40" s="1">
        <v>217534</v>
      </c>
      <c r="AX40" s="1">
        <v>3711</v>
      </c>
      <c r="AY40" s="1">
        <v>6847</v>
      </c>
      <c r="AZ40" s="1">
        <v>107472</v>
      </c>
      <c r="BA40" s="1">
        <v>454485</v>
      </c>
      <c r="BB40" s="1">
        <v>3442418</v>
      </c>
      <c r="BC40" s="1">
        <v>1675642</v>
      </c>
      <c r="BD40" s="1">
        <v>1080364</v>
      </c>
      <c r="BE40" s="1">
        <v>136185</v>
      </c>
      <c r="BF40" s="1">
        <v>141786</v>
      </c>
      <c r="BG40" s="1">
        <v>408441</v>
      </c>
      <c r="BH40" s="1">
        <v>2842873</v>
      </c>
      <c r="BI40" s="1">
        <v>77814</v>
      </c>
      <c r="BJ40" s="1">
        <v>122819</v>
      </c>
      <c r="BK40" s="1">
        <v>509584</v>
      </c>
      <c r="BL40" s="1">
        <v>511898</v>
      </c>
      <c r="BM40" s="1">
        <v>200865</v>
      </c>
      <c r="BN40" s="1">
        <v>820404</v>
      </c>
      <c r="BO40" s="1">
        <v>599489</v>
      </c>
      <c r="BP40" s="1">
        <v>3418365</v>
      </c>
      <c r="BQ40" s="1">
        <v>13348</v>
      </c>
      <c r="BR40" s="1">
        <v>2379401</v>
      </c>
      <c r="BS40" s="1">
        <v>67432</v>
      </c>
      <c r="BT40" s="1">
        <v>958184</v>
      </c>
      <c r="BU40" s="1">
        <v>751097</v>
      </c>
      <c r="BV40" s="1">
        <v>1275546</v>
      </c>
      <c r="BW40" s="1">
        <v>186601</v>
      </c>
      <c r="BX40" s="1">
        <v>34471</v>
      </c>
      <c r="BY40" s="1">
        <v>105225</v>
      </c>
      <c r="BZ40" s="1">
        <v>318724</v>
      </c>
      <c r="CA40" s="1">
        <v>35854</v>
      </c>
      <c r="CB40" s="1">
        <v>69233</v>
      </c>
      <c r="CC40" s="2">
        <v>1.9</v>
      </c>
      <c r="CD40" s="1">
        <v>964899</v>
      </c>
      <c r="CE40" s="1">
        <v>627274</v>
      </c>
      <c r="CF40" s="1">
        <v>222322</v>
      </c>
      <c r="CG40" s="1">
        <v>132269</v>
      </c>
      <c r="CH40" s="1">
        <v>50185</v>
      </c>
      <c r="CI40" s="1">
        <v>17963</v>
      </c>
      <c r="CJ40" s="1">
        <v>11731</v>
      </c>
      <c r="CK40" s="2">
        <v>44.78</v>
      </c>
      <c r="CL40" s="1">
        <v>146704</v>
      </c>
      <c r="CM40" s="1">
        <v>502985</v>
      </c>
      <c r="CN40" s="1">
        <v>340548</v>
      </c>
      <c r="CO40" s="1">
        <v>295732</v>
      </c>
      <c r="CP40" s="1">
        <v>329793</v>
      </c>
      <c r="CQ40" s="1">
        <v>232163</v>
      </c>
      <c r="CR40" s="1">
        <v>119640</v>
      </c>
      <c r="CS40" s="1">
        <v>59078</v>
      </c>
      <c r="CT40" s="1">
        <v>260515</v>
      </c>
      <c r="CU40" s="1">
        <v>919918</v>
      </c>
      <c r="CV40" s="1">
        <v>846212</v>
      </c>
      <c r="CW40" s="1">
        <v>39936</v>
      </c>
      <c r="CX40" s="1">
        <v>57707</v>
      </c>
      <c r="CY40" s="1">
        <v>85652</v>
      </c>
      <c r="CZ40" s="1">
        <v>156793</v>
      </c>
      <c r="DA40" s="1">
        <v>96581</v>
      </c>
      <c r="DB40" s="1">
        <v>93485</v>
      </c>
      <c r="DC40" s="1">
        <v>100727</v>
      </c>
      <c r="DD40" s="1">
        <v>89530</v>
      </c>
      <c r="DE40" s="1">
        <v>88361</v>
      </c>
      <c r="DF40" s="1">
        <v>87800</v>
      </c>
      <c r="DG40" s="1">
        <v>90406</v>
      </c>
      <c r="DH40" s="1">
        <v>84808</v>
      </c>
      <c r="DI40" s="1">
        <v>161941</v>
      </c>
      <c r="DJ40" s="1">
        <v>205372</v>
      </c>
      <c r="DK40" s="1">
        <v>258914</v>
      </c>
      <c r="DL40" s="1">
        <v>143432</v>
      </c>
      <c r="DM40" s="1">
        <v>117978</v>
      </c>
      <c r="DN40" s="1">
        <v>126178</v>
      </c>
      <c r="DO40" s="1">
        <v>124338</v>
      </c>
      <c r="DP40" s="1">
        <v>33575</v>
      </c>
      <c r="DQ40" s="1">
        <v>59542</v>
      </c>
      <c r="DR40" s="1">
        <v>70503</v>
      </c>
      <c r="DS40" s="1">
        <v>71642</v>
      </c>
      <c r="DT40" s="1">
        <v>66283</v>
      </c>
      <c r="DU40" s="1">
        <v>48719</v>
      </c>
      <c r="DV40" s="1">
        <v>37688</v>
      </c>
      <c r="DW40" s="2">
        <v>58598.42</v>
      </c>
      <c r="DX40" s="2">
        <v>27477.75</v>
      </c>
      <c r="DY40" s="2">
        <v>1883.35</v>
      </c>
      <c r="DZ40" s="2">
        <v>394.49</v>
      </c>
      <c r="EA40" s="2">
        <v>2064.58</v>
      </c>
      <c r="EB40" s="2">
        <v>1757.92</v>
      </c>
      <c r="EC40" s="2">
        <v>3265.09</v>
      </c>
      <c r="ED40" s="2">
        <v>8660.76</v>
      </c>
      <c r="EE40" s="2">
        <v>4914.54</v>
      </c>
      <c r="EF40" s="2">
        <v>2031.73</v>
      </c>
      <c r="EG40" s="2">
        <v>12599.01</v>
      </c>
      <c r="EH40" s="2">
        <v>2282.1</v>
      </c>
      <c r="EI40" s="2">
        <v>1108.3</v>
      </c>
      <c r="EJ40" s="2">
        <v>787.01</v>
      </c>
      <c r="EK40" s="2">
        <v>127.55</v>
      </c>
      <c r="EL40" s="2">
        <v>373.47</v>
      </c>
      <c r="EM40" s="2">
        <v>10550.64</v>
      </c>
      <c r="EN40" s="2">
        <v>4354.53</v>
      </c>
      <c r="EO40" s="2">
        <v>1443.35</v>
      </c>
      <c r="EP40" s="1">
        <v>36782</v>
      </c>
      <c r="EQ40" s="1">
        <v>4814</v>
      </c>
      <c r="ER40" s="1">
        <v>802</v>
      </c>
      <c r="ES40" s="1">
        <v>8581</v>
      </c>
      <c r="ET40" s="1">
        <v>40621</v>
      </c>
      <c r="EU40" s="1">
        <v>68544</v>
      </c>
      <c r="EV40" s="1">
        <v>111033</v>
      </c>
      <c r="EW40" s="1">
        <v>6870</v>
      </c>
      <c r="EX40" s="1">
        <v>23546</v>
      </c>
      <c r="EY40" s="1">
        <v>3962</v>
      </c>
      <c r="EZ40" s="1">
        <v>304707</v>
      </c>
      <c r="FA40" s="1">
        <v>20585</v>
      </c>
      <c r="FB40" s="1">
        <v>147467</v>
      </c>
      <c r="FC40" s="1">
        <v>45878</v>
      </c>
      <c r="FD40" s="1">
        <v>26525</v>
      </c>
      <c r="FE40" s="1">
        <v>137041</v>
      </c>
      <c r="FF40" s="1">
        <v>4746</v>
      </c>
      <c r="FG40" s="1">
        <v>416932</v>
      </c>
      <c r="FH40" s="1">
        <v>68909</v>
      </c>
      <c r="FI40" s="1">
        <v>14680</v>
      </c>
      <c r="FJ40" s="1">
        <v>851</v>
      </c>
      <c r="FK40" s="1">
        <v>2455</v>
      </c>
      <c r="FL40" s="1">
        <v>8364</v>
      </c>
      <c r="FM40" s="1">
        <v>1308</v>
      </c>
      <c r="FN40" s="1">
        <v>91092</v>
      </c>
      <c r="FO40" s="1">
        <v>632669</v>
      </c>
      <c r="FP40" s="1">
        <v>182</v>
      </c>
      <c r="FQ40" s="1">
        <v>160</v>
      </c>
      <c r="FR40" s="1">
        <v>137</v>
      </c>
      <c r="FS40" s="1">
        <v>136</v>
      </c>
      <c r="FT40" s="1">
        <v>211</v>
      </c>
      <c r="FU40" s="1">
        <v>142</v>
      </c>
      <c r="FV40" s="1">
        <v>185</v>
      </c>
      <c r="FW40" s="1">
        <v>150</v>
      </c>
      <c r="FX40" s="1">
        <v>195</v>
      </c>
      <c r="FY40" s="1">
        <v>188</v>
      </c>
      <c r="FZ40" s="3">
        <v>0.377</v>
      </c>
      <c r="GA40" s="3">
        <v>-1.407</v>
      </c>
      <c r="GB40" s="3">
        <v>-0.84699999999999998</v>
      </c>
      <c r="GC40" s="3">
        <v>-0.46200000000000002</v>
      </c>
      <c r="GD40" s="3">
        <v>0.50700000000000001</v>
      </c>
      <c r="GE40" s="3">
        <v>0.56200000000000006</v>
      </c>
      <c r="GF40" s="3">
        <v>-0.39300000000000002</v>
      </c>
      <c r="GG40" s="3">
        <v>-3.3000000000000002E-2</v>
      </c>
      <c r="GH40" s="3">
        <v>-0.30599999999999999</v>
      </c>
      <c r="GI40" s="3">
        <v>0.22</v>
      </c>
      <c r="GJ40" s="3">
        <v>0.126</v>
      </c>
      <c r="GK40" s="3">
        <v>-8.6999999999999994E-2</v>
      </c>
      <c r="GL40" s="3">
        <v>-0.17399999999999999</v>
      </c>
      <c r="GM40" s="3">
        <v>0.18099999999999999</v>
      </c>
      <c r="GN40" s="3">
        <v>-0.59899999999999998</v>
      </c>
      <c r="GO40" s="3">
        <v>0.28299999999999997</v>
      </c>
      <c r="GP40" s="3">
        <v>-0.439</v>
      </c>
      <c r="GQ40" s="3">
        <v>-0.155</v>
      </c>
      <c r="GR40" s="3">
        <v>0.13100000000000001</v>
      </c>
      <c r="GS40" s="3">
        <v>-0.27100000000000002</v>
      </c>
      <c r="GT40" s="3">
        <v>-2.7E-2</v>
      </c>
      <c r="GU40" s="3">
        <v>0.318</v>
      </c>
      <c r="GV40" s="3">
        <v>-9.1999999999999998E-2</v>
      </c>
      <c r="GW40" s="3">
        <v>-4.9000000000000002E-2</v>
      </c>
      <c r="GX40" s="3">
        <v>-0.315</v>
      </c>
      <c r="GY40" s="3">
        <v>-0.06</v>
      </c>
      <c r="GZ40" s="4">
        <v>102</v>
      </c>
      <c r="HA40" s="4">
        <v>95</v>
      </c>
      <c r="HB40" s="4">
        <v>118</v>
      </c>
      <c r="HC40" s="4">
        <v>76</v>
      </c>
      <c r="HD40" s="4">
        <v>147</v>
      </c>
      <c r="HE40" s="4">
        <v>93</v>
      </c>
      <c r="HF40" s="1">
        <v>4973</v>
      </c>
      <c r="HG40" s="1">
        <v>3383</v>
      </c>
      <c r="HH40" s="1">
        <v>3500</v>
      </c>
      <c r="HI40" s="1">
        <v>3271</v>
      </c>
      <c r="HJ40" s="1">
        <v>3247</v>
      </c>
      <c r="HK40" s="1">
        <v>3233</v>
      </c>
      <c r="HL40" s="1">
        <v>2788</v>
      </c>
      <c r="HM40" s="1">
        <v>7280</v>
      </c>
      <c r="HN40" s="1">
        <v>9965</v>
      </c>
      <c r="HO40" s="1">
        <v>11800</v>
      </c>
      <c r="HP40" s="1">
        <v>15916</v>
      </c>
      <c r="HQ40" s="1">
        <v>20710</v>
      </c>
      <c r="HR40" s="1">
        <v>20743</v>
      </c>
      <c r="HS40" s="1">
        <v>58622</v>
      </c>
      <c r="HT40" s="1">
        <v>54676</v>
      </c>
      <c r="HU40" s="1">
        <v>70605</v>
      </c>
      <c r="HV40" s="1">
        <v>53728</v>
      </c>
      <c r="HW40" s="1">
        <v>94941</v>
      </c>
      <c r="HX40" s="1">
        <v>68957</v>
      </c>
      <c r="HY40" s="1">
        <v>83527</v>
      </c>
      <c r="HZ40" s="1">
        <v>41580</v>
      </c>
      <c r="IA40" s="1">
        <v>36517</v>
      </c>
      <c r="IB40" s="1">
        <v>12173</v>
      </c>
      <c r="IC40" s="1">
        <v>10266</v>
      </c>
      <c r="ID40" s="1">
        <v>199888</v>
      </c>
      <c r="IE40" s="1">
        <v>9342</v>
      </c>
      <c r="IF40" s="1">
        <v>9013</v>
      </c>
      <c r="IG40" s="1">
        <v>14814</v>
      </c>
      <c r="IH40" s="1">
        <v>17051</v>
      </c>
      <c r="II40" s="1">
        <v>16853</v>
      </c>
      <c r="IJ40" s="1">
        <v>25389</v>
      </c>
      <c r="IK40" s="1">
        <v>34618</v>
      </c>
      <c r="IL40" s="1">
        <v>51982</v>
      </c>
      <c r="IM40" s="1">
        <v>65319</v>
      </c>
      <c r="IN40" s="1">
        <v>74646</v>
      </c>
      <c r="IO40" s="1">
        <v>72910</v>
      </c>
      <c r="IP40" s="1">
        <v>77989</v>
      </c>
      <c r="IQ40" s="1">
        <v>78949</v>
      </c>
      <c r="IR40" s="1">
        <v>68736</v>
      </c>
      <c r="IS40" s="1">
        <v>60637</v>
      </c>
      <c r="IT40" s="1">
        <v>104589</v>
      </c>
      <c r="IU40" s="1">
        <v>71852</v>
      </c>
      <c r="IV40" s="1">
        <v>106597</v>
      </c>
      <c r="IW40">
        <v>44324</v>
      </c>
      <c r="IX40">
        <v>36055</v>
      </c>
      <c r="IY40">
        <v>13247</v>
      </c>
      <c r="IZ40">
        <v>33391</v>
      </c>
      <c r="JA40">
        <v>671</v>
      </c>
      <c r="JB40">
        <v>448117</v>
      </c>
      <c r="JC40">
        <v>77000</v>
      </c>
      <c r="JD40">
        <v>31669</v>
      </c>
      <c r="JE40">
        <v>19612</v>
      </c>
      <c r="JF40">
        <v>16603</v>
      </c>
      <c r="JG40">
        <v>13943</v>
      </c>
      <c r="JH40">
        <v>17149</v>
      </c>
      <c r="JI40">
        <v>11960</v>
      </c>
      <c r="JJ40">
        <v>11820</v>
      </c>
      <c r="JK40">
        <v>505</v>
      </c>
      <c r="JL40">
        <v>187404</v>
      </c>
      <c r="JM40">
        <v>64589</v>
      </c>
      <c r="JN40">
        <v>134868</v>
      </c>
      <c r="JO40">
        <v>179981</v>
      </c>
      <c r="JP40">
        <v>162570</v>
      </c>
      <c r="JQ40">
        <v>143460</v>
      </c>
      <c r="JR40">
        <v>129531</v>
      </c>
      <c r="JS40">
        <v>103218</v>
      </c>
      <c r="JT40">
        <v>14937</v>
      </c>
      <c r="JU40">
        <v>324</v>
      </c>
      <c r="JV40">
        <v>75428</v>
      </c>
      <c r="JW40">
        <v>71329</v>
      </c>
      <c r="JX40">
        <v>128291</v>
      </c>
      <c r="JY40">
        <v>158197</v>
      </c>
      <c r="JZ40">
        <v>224837</v>
      </c>
      <c r="KA40">
        <v>181216</v>
      </c>
      <c r="KB40">
        <v>198533</v>
      </c>
      <c r="KC40">
        <v>138078</v>
      </c>
      <c r="KD40">
        <v>593351</v>
      </c>
      <c r="KE40">
        <v>11477</v>
      </c>
      <c r="KF40">
        <v>5115</v>
      </c>
      <c r="KG40">
        <v>83006</v>
      </c>
      <c r="KH40">
        <v>135008</v>
      </c>
      <c r="KI40">
        <v>40358</v>
      </c>
      <c r="KJ40">
        <v>207713</v>
      </c>
      <c r="KK40">
        <v>51551</v>
      </c>
      <c r="KL40">
        <v>10239</v>
      </c>
      <c r="KM40">
        <v>53031</v>
      </c>
      <c r="KN40">
        <v>84556</v>
      </c>
      <c r="KO40">
        <v>38392</v>
      </c>
      <c r="KP40">
        <v>171353</v>
      </c>
      <c r="KQ40">
        <v>1490</v>
      </c>
      <c r="KR40">
        <v>75619</v>
      </c>
      <c r="KS40">
        <v>292943</v>
      </c>
      <c r="KT40">
        <v>271250</v>
      </c>
      <c r="KU40">
        <v>58581</v>
      </c>
      <c r="KV40">
        <v>210319</v>
      </c>
      <c r="KW40">
        <v>97316</v>
      </c>
      <c r="KX40">
        <v>84530</v>
      </c>
      <c r="KY40">
        <v>1235453</v>
      </c>
      <c r="KZ40">
        <v>57796</v>
      </c>
      <c r="LA40">
        <v>255663</v>
      </c>
      <c r="LB40">
        <v>127752</v>
      </c>
      <c r="LC40">
        <v>146215</v>
      </c>
      <c r="LD40">
        <v>41664</v>
      </c>
      <c r="LE40">
        <v>117303</v>
      </c>
      <c r="LF40">
        <v>2001</v>
      </c>
      <c r="LG40">
        <v>1486366</v>
      </c>
      <c r="LH40">
        <v>30129</v>
      </c>
      <c r="LI40">
        <v>104162</v>
      </c>
      <c r="LJ40">
        <v>12696</v>
      </c>
      <c r="LK40">
        <v>69367</v>
      </c>
      <c r="LL40">
        <v>14175</v>
      </c>
      <c r="LM40">
        <v>31593</v>
      </c>
      <c r="LN40">
        <v>4988</v>
      </c>
      <c r="LO40">
        <v>15784</v>
      </c>
      <c r="LP40">
        <v>1391.8114</v>
      </c>
      <c r="LQ40">
        <v>2716.94785</v>
      </c>
    </row>
    <row r="41" spans="1:329" x14ac:dyDescent="0.25">
      <c r="A41" s="5" t="s">
        <v>363</v>
      </c>
      <c r="B41" s="5" t="s">
        <v>296</v>
      </c>
      <c r="C41" s="1">
        <v>3482752</v>
      </c>
      <c r="D41" s="1">
        <v>3926122</v>
      </c>
      <c r="E41" s="1">
        <v>4159386</v>
      </c>
      <c r="F41" s="1">
        <v>4444293</v>
      </c>
      <c r="G41" s="1">
        <v>4550597</v>
      </c>
      <c r="H41" s="1">
        <v>1449336</v>
      </c>
      <c r="I41" s="1">
        <v>1649637</v>
      </c>
      <c r="J41" s="1">
        <v>1748765</v>
      </c>
      <c r="K41" s="1">
        <v>1896919</v>
      </c>
      <c r="L41" s="1">
        <v>1962049</v>
      </c>
      <c r="M41" s="1">
        <v>1957269</v>
      </c>
      <c r="N41" s="1">
        <v>775018</v>
      </c>
      <c r="O41" s="1">
        <v>1121900</v>
      </c>
      <c r="P41" s="1">
        <v>60351</v>
      </c>
      <c r="Q41" s="1">
        <v>136900</v>
      </c>
      <c r="R41" s="1">
        <v>13978</v>
      </c>
      <c r="S41" s="1">
        <v>80</v>
      </c>
      <c r="T41" s="1">
        <v>3314211</v>
      </c>
      <c r="U41" s="1">
        <v>1077193</v>
      </c>
      <c r="V41" s="1">
        <v>52889</v>
      </c>
      <c r="W41" s="1">
        <v>6358</v>
      </c>
      <c r="X41" s="1">
        <v>1940</v>
      </c>
      <c r="Y41" s="2">
        <v>34.75</v>
      </c>
      <c r="Z41" s="1">
        <v>285052</v>
      </c>
      <c r="AA41" s="1">
        <v>251567</v>
      </c>
      <c r="AB41" s="1">
        <v>241285</v>
      </c>
      <c r="AC41" s="1">
        <v>236916</v>
      </c>
      <c r="AD41" s="1">
        <v>316041</v>
      </c>
      <c r="AE41" s="1">
        <v>437187</v>
      </c>
      <c r="AF41" s="1">
        <v>402748</v>
      </c>
      <c r="AG41" s="1">
        <v>342875</v>
      </c>
      <c r="AH41" s="1">
        <v>281012</v>
      </c>
      <c r="AI41" s="1">
        <v>277647</v>
      </c>
      <c r="AJ41" s="1">
        <v>274384</v>
      </c>
      <c r="AK41" s="1">
        <v>279429</v>
      </c>
      <c r="AL41" s="1">
        <v>245478</v>
      </c>
      <c r="AM41" s="1">
        <v>190319</v>
      </c>
      <c r="AN41" s="1">
        <v>144197</v>
      </c>
      <c r="AO41" s="1">
        <v>97614</v>
      </c>
      <c r="AP41" s="1">
        <v>65386</v>
      </c>
      <c r="AQ41" s="1">
        <v>75154</v>
      </c>
      <c r="AR41" s="1">
        <v>2159892</v>
      </c>
      <c r="AS41" s="1">
        <v>2284402</v>
      </c>
      <c r="AT41" s="1">
        <v>2072181</v>
      </c>
      <c r="AU41" s="1">
        <v>755459</v>
      </c>
      <c r="AV41" s="1">
        <v>15856</v>
      </c>
      <c r="AW41" s="1">
        <v>523733</v>
      </c>
      <c r="AX41" s="1">
        <v>8205</v>
      </c>
      <c r="AY41" s="1">
        <v>11548</v>
      </c>
      <c r="AZ41" s="1">
        <v>132716</v>
      </c>
      <c r="BA41" s="1">
        <v>924850</v>
      </c>
      <c r="BB41" s="1">
        <v>3666388</v>
      </c>
      <c r="BC41" s="1">
        <v>1410189</v>
      </c>
      <c r="BD41" s="1">
        <v>1429569</v>
      </c>
      <c r="BE41" s="1">
        <v>206599</v>
      </c>
      <c r="BF41" s="1">
        <v>172770</v>
      </c>
      <c r="BG41" s="1">
        <v>447261</v>
      </c>
      <c r="BH41" s="1">
        <v>3113431</v>
      </c>
      <c r="BI41" s="1">
        <v>144902</v>
      </c>
      <c r="BJ41" s="1">
        <v>158634</v>
      </c>
      <c r="BK41" s="1">
        <v>707065</v>
      </c>
      <c r="BL41" s="1">
        <v>617364</v>
      </c>
      <c r="BM41" s="1">
        <v>255613</v>
      </c>
      <c r="BN41" s="1">
        <v>754449</v>
      </c>
      <c r="BO41" s="1">
        <v>475404</v>
      </c>
      <c r="BP41" s="1">
        <v>3622210</v>
      </c>
      <c r="BQ41" s="1">
        <v>23950</v>
      </c>
      <c r="BR41" s="1">
        <v>2478458</v>
      </c>
      <c r="BS41" s="1">
        <v>87127</v>
      </c>
      <c r="BT41" s="1">
        <v>1032675</v>
      </c>
      <c r="BU41" s="1">
        <v>1050581</v>
      </c>
      <c r="BV41" s="1">
        <v>846338</v>
      </c>
      <c r="BW41" s="1">
        <v>316957</v>
      </c>
      <c r="BX41" s="1">
        <v>50894</v>
      </c>
      <c r="BY41" s="1">
        <v>165294</v>
      </c>
      <c r="BZ41" s="1">
        <v>372567</v>
      </c>
      <c r="CA41" s="1">
        <v>45374</v>
      </c>
      <c r="CB41" s="1">
        <v>99300</v>
      </c>
      <c r="CC41" s="2">
        <v>2.3199999999999998</v>
      </c>
      <c r="CD41" s="1">
        <v>664285</v>
      </c>
      <c r="CE41" s="1">
        <v>580443</v>
      </c>
      <c r="CF41" s="1">
        <v>290904</v>
      </c>
      <c r="CG41" s="1">
        <v>209024</v>
      </c>
      <c r="CH41" s="1">
        <v>91037</v>
      </c>
      <c r="CI41" s="1">
        <v>35642</v>
      </c>
      <c r="CJ41" s="1">
        <v>25584</v>
      </c>
      <c r="CK41" s="2">
        <v>48.22</v>
      </c>
      <c r="CL41" s="1">
        <v>65675</v>
      </c>
      <c r="CM41" s="1">
        <v>379407</v>
      </c>
      <c r="CN41" s="1">
        <v>357536</v>
      </c>
      <c r="CO41" s="1">
        <v>345974</v>
      </c>
      <c r="CP41" s="1">
        <v>347154</v>
      </c>
      <c r="CQ41" s="1">
        <v>231819</v>
      </c>
      <c r="CR41" s="1">
        <v>116685</v>
      </c>
      <c r="CS41" s="1">
        <v>52669</v>
      </c>
      <c r="CT41" s="1">
        <v>158417</v>
      </c>
      <c r="CU41" s="1">
        <v>808788</v>
      </c>
      <c r="CV41" s="1">
        <v>929715</v>
      </c>
      <c r="CW41" s="1">
        <v>37348</v>
      </c>
      <c r="CX41" s="1">
        <v>70177</v>
      </c>
      <c r="CY41" s="1">
        <v>84805</v>
      </c>
      <c r="CZ41" s="1">
        <v>91082</v>
      </c>
      <c r="DA41" s="1">
        <v>61742</v>
      </c>
      <c r="DB41" s="1">
        <v>63140</v>
      </c>
      <c r="DC41" s="1">
        <v>71139</v>
      </c>
      <c r="DD41" s="1">
        <v>67920</v>
      </c>
      <c r="DE41" s="1">
        <v>71734</v>
      </c>
      <c r="DF41" s="1">
        <v>73184</v>
      </c>
      <c r="DG41" s="1">
        <v>79113</v>
      </c>
      <c r="DH41" s="1">
        <v>76401</v>
      </c>
      <c r="DI41" s="1">
        <v>148529</v>
      </c>
      <c r="DJ41" s="1">
        <v>212915</v>
      </c>
      <c r="DK41" s="1">
        <v>304044</v>
      </c>
      <c r="DL41" s="1">
        <v>174248</v>
      </c>
      <c r="DM41" s="1">
        <v>137416</v>
      </c>
      <c r="DN41" s="1">
        <v>147145</v>
      </c>
      <c r="DO41" s="1">
        <v>117168</v>
      </c>
      <c r="DP41" s="1">
        <v>45945</v>
      </c>
      <c r="DQ41" s="1">
        <v>69820</v>
      </c>
      <c r="DR41" s="1">
        <v>79028</v>
      </c>
      <c r="DS41" s="1">
        <v>80585</v>
      </c>
      <c r="DT41" s="1">
        <v>75501</v>
      </c>
      <c r="DU41" s="1">
        <v>61109</v>
      </c>
      <c r="DV41" s="1">
        <v>48826</v>
      </c>
      <c r="DW41" s="2">
        <v>63951.839999999997</v>
      </c>
      <c r="DX41" s="2">
        <v>30131.71</v>
      </c>
      <c r="DY41" s="2">
        <v>2052.94</v>
      </c>
      <c r="DZ41" s="2">
        <v>440.12</v>
      </c>
      <c r="EA41" s="2">
        <v>2264.8000000000002</v>
      </c>
      <c r="EB41" s="2">
        <v>1910.26</v>
      </c>
      <c r="EC41" s="2">
        <v>3593.62</v>
      </c>
      <c r="ED41" s="2">
        <v>9455.2199999999993</v>
      </c>
      <c r="EE41" s="2">
        <v>5357.7</v>
      </c>
      <c r="EF41" s="2">
        <v>2235.69</v>
      </c>
      <c r="EG41" s="2">
        <v>13623.2</v>
      </c>
      <c r="EH41" s="2">
        <v>2492.06</v>
      </c>
      <c r="EI41" s="2">
        <v>1207.44</v>
      </c>
      <c r="EJ41" s="2">
        <v>860.02</v>
      </c>
      <c r="EK41" s="2">
        <v>138.57</v>
      </c>
      <c r="EL41" s="2">
        <v>395.22</v>
      </c>
      <c r="EM41" s="2">
        <v>11644.11</v>
      </c>
      <c r="EN41" s="2">
        <v>4717.09</v>
      </c>
      <c r="EO41" s="2">
        <v>1563.78</v>
      </c>
      <c r="EP41" s="1">
        <v>43478</v>
      </c>
      <c r="EQ41" s="1">
        <v>5485</v>
      </c>
      <c r="ER41" s="1">
        <v>1027</v>
      </c>
      <c r="ES41" s="1">
        <v>10208</v>
      </c>
      <c r="ET41" s="1">
        <v>49713</v>
      </c>
      <c r="EU41" s="1">
        <v>79959</v>
      </c>
      <c r="EV41" s="1">
        <v>132294</v>
      </c>
      <c r="EW41" s="1">
        <v>7139</v>
      </c>
      <c r="EX41" s="1">
        <v>27558</v>
      </c>
      <c r="EY41" s="1">
        <v>4288</v>
      </c>
      <c r="EZ41" s="1">
        <v>360363</v>
      </c>
      <c r="FA41" s="1">
        <v>22617</v>
      </c>
      <c r="FB41" s="1">
        <v>205034</v>
      </c>
      <c r="FC41" s="1">
        <v>56678</v>
      </c>
      <c r="FD41" s="1">
        <v>26364</v>
      </c>
      <c r="FE41" s="1">
        <v>145276</v>
      </c>
      <c r="FF41" s="1">
        <v>5398</v>
      </c>
      <c r="FG41" s="1">
        <v>480348</v>
      </c>
      <c r="FH41" s="1">
        <v>94680</v>
      </c>
      <c r="FI41" s="1">
        <v>15803</v>
      </c>
      <c r="FJ41" s="1">
        <v>904</v>
      </c>
      <c r="FK41" s="1">
        <v>2828</v>
      </c>
      <c r="FL41" s="1">
        <v>10807</v>
      </c>
      <c r="FM41" s="1">
        <v>1444</v>
      </c>
      <c r="FN41" s="1">
        <v>111407</v>
      </c>
      <c r="FO41" s="1">
        <v>732350</v>
      </c>
      <c r="FP41" s="1">
        <v>98</v>
      </c>
      <c r="FQ41" s="1">
        <v>88</v>
      </c>
      <c r="FR41" s="1">
        <v>69</v>
      </c>
      <c r="FS41" s="1">
        <v>79</v>
      </c>
      <c r="FT41" s="1">
        <v>106</v>
      </c>
      <c r="FU41" s="1">
        <v>82</v>
      </c>
      <c r="FV41" s="1">
        <v>100</v>
      </c>
      <c r="FW41" s="1">
        <v>82</v>
      </c>
      <c r="FX41" s="1">
        <v>105</v>
      </c>
      <c r="FY41" s="1">
        <v>99</v>
      </c>
      <c r="FZ41" s="3">
        <v>0.34599999999999997</v>
      </c>
      <c r="GA41" s="3">
        <v>-0.80600000000000005</v>
      </c>
      <c r="GB41" s="3">
        <v>-0.53</v>
      </c>
      <c r="GC41" s="3">
        <v>1.0999999999999999E-2</v>
      </c>
      <c r="GD41" s="3">
        <v>1.111</v>
      </c>
      <c r="GE41" s="3">
        <v>-7.5999999999999998E-2</v>
      </c>
      <c r="GF41" s="3">
        <v>0.45100000000000001</v>
      </c>
      <c r="GG41" s="3">
        <v>0.17699999999999999</v>
      </c>
      <c r="GH41" s="3">
        <v>0.61699999999999999</v>
      </c>
      <c r="GI41" s="3">
        <v>-0.36499999999999999</v>
      </c>
      <c r="GJ41" s="3">
        <v>0.48799999999999999</v>
      </c>
      <c r="GK41" s="3">
        <v>-0.24199999999999999</v>
      </c>
      <c r="GL41" s="3">
        <v>-0.40100000000000002</v>
      </c>
      <c r="GM41" s="3">
        <v>-0.32800000000000001</v>
      </c>
      <c r="GN41" s="3">
        <v>1E-3</v>
      </c>
      <c r="GO41" s="3">
        <v>-5.6000000000000001E-2</v>
      </c>
      <c r="GP41" s="3">
        <v>-0.47699999999999998</v>
      </c>
      <c r="GQ41" s="3">
        <v>-7.0000000000000001E-3</v>
      </c>
      <c r="GR41" s="3">
        <v>-3.5000000000000003E-2</v>
      </c>
      <c r="GS41" s="3">
        <v>0.16600000000000001</v>
      </c>
      <c r="GT41" s="3">
        <v>-7.0000000000000007E-2</v>
      </c>
      <c r="GU41" s="3">
        <v>2.5000000000000001E-2</v>
      </c>
      <c r="GV41" s="3">
        <v>2.5999999999999999E-2</v>
      </c>
      <c r="GW41" s="3">
        <v>-0.23300000000000001</v>
      </c>
      <c r="GX41" s="3">
        <v>0.13100000000000001</v>
      </c>
      <c r="GY41" s="3">
        <v>1.4999999999999999E-2</v>
      </c>
      <c r="GZ41" s="4">
        <v>111</v>
      </c>
      <c r="HA41" s="4">
        <v>100</v>
      </c>
      <c r="HB41" s="4">
        <v>120</v>
      </c>
      <c r="HC41" s="4">
        <v>110</v>
      </c>
      <c r="HD41" s="4">
        <v>140</v>
      </c>
      <c r="HE41" s="4">
        <v>111</v>
      </c>
      <c r="HF41" s="1">
        <v>3111</v>
      </c>
      <c r="HG41" s="1">
        <v>2573</v>
      </c>
      <c r="HH41" s="1">
        <v>2359</v>
      </c>
      <c r="HI41" s="1">
        <v>2334</v>
      </c>
      <c r="HJ41" s="1">
        <v>2274</v>
      </c>
      <c r="HK41" s="1">
        <v>2214</v>
      </c>
      <c r="HL41" s="1">
        <v>1648</v>
      </c>
      <c r="HM41" s="1">
        <v>3026</v>
      </c>
      <c r="HN41" s="1">
        <v>3750</v>
      </c>
      <c r="HO41" s="1">
        <v>4194</v>
      </c>
      <c r="HP41" s="1">
        <v>5176</v>
      </c>
      <c r="HQ41" s="1">
        <v>6366</v>
      </c>
      <c r="HR41" s="1">
        <v>6988</v>
      </c>
      <c r="HS41" s="1">
        <v>23191</v>
      </c>
      <c r="HT41" s="1">
        <v>25504</v>
      </c>
      <c r="HU41" s="1">
        <v>44344</v>
      </c>
      <c r="HV41" s="1">
        <v>44201</v>
      </c>
      <c r="HW41" s="1">
        <v>119263</v>
      </c>
      <c r="HX41" s="1">
        <v>108392</v>
      </c>
      <c r="HY41" s="1">
        <v>157361</v>
      </c>
      <c r="HZ41" s="1">
        <v>71927</v>
      </c>
      <c r="IA41" s="1">
        <v>59344</v>
      </c>
      <c r="IB41" s="1">
        <v>16937</v>
      </c>
      <c r="IC41" s="1">
        <v>12428</v>
      </c>
      <c r="ID41" s="1">
        <v>278570</v>
      </c>
      <c r="IE41" s="1">
        <v>4678</v>
      </c>
      <c r="IF41" s="1">
        <v>5804</v>
      </c>
      <c r="IG41" s="1">
        <v>7513</v>
      </c>
      <c r="IH41" s="1">
        <v>9522</v>
      </c>
      <c r="II41" s="1">
        <v>5768</v>
      </c>
      <c r="IJ41" s="1">
        <v>6722</v>
      </c>
      <c r="IK41" s="1">
        <v>5870</v>
      </c>
      <c r="IL41" s="1">
        <v>9500</v>
      </c>
      <c r="IM41" s="1">
        <v>8997</v>
      </c>
      <c r="IN41" s="1">
        <v>16022</v>
      </c>
      <c r="IO41" s="1">
        <v>15126</v>
      </c>
      <c r="IP41" s="1">
        <v>23893</v>
      </c>
      <c r="IQ41" s="1">
        <v>28950</v>
      </c>
      <c r="IR41" s="1">
        <v>36882</v>
      </c>
      <c r="IS41" s="1">
        <v>41888</v>
      </c>
      <c r="IT41" s="1">
        <v>110470</v>
      </c>
      <c r="IU41" s="1">
        <v>115138</v>
      </c>
      <c r="IV41" s="1">
        <v>263193</v>
      </c>
      <c r="IW41">
        <v>163794</v>
      </c>
      <c r="IX41">
        <v>114834</v>
      </c>
      <c r="IY41">
        <v>29097</v>
      </c>
      <c r="IZ41">
        <v>23227</v>
      </c>
      <c r="JA41">
        <v>1041</v>
      </c>
      <c r="JB41">
        <v>407988</v>
      </c>
      <c r="JC41">
        <v>189997</v>
      </c>
      <c r="JD41">
        <v>20865</v>
      </c>
      <c r="JE41">
        <v>30904</v>
      </c>
      <c r="JF41">
        <v>44087</v>
      </c>
      <c r="JG41">
        <v>41980</v>
      </c>
      <c r="JH41">
        <v>29209</v>
      </c>
      <c r="JI41">
        <v>21223</v>
      </c>
      <c r="JJ41">
        <v>14936</v>
      </c>
      <c r="JK41">
        <v>611</v>
      </c>
      <c r="JL41">
        <v>88924</v>
      </c>
      <c r="JM41">
        <v>95579</v>
      </c>
      <c r="JN41">
        <v>74063</v>
      </c>
      <c r="JO41">
        <v>136478</v>
      </c>
      <c r="JP41">
        <v>202998</v>
      </c>
      <c r="JQ41">
        <v>262434</v>
      </c>
      <c r="JR41">
        <v>136918</v>
      </c>
      <c r="JS41">
        <v>129177</v>
      </c>
      <c r="JT41">
        <v>6422</v>
      </c>
      <c r="JU41">
        <v>604</v>
      </c>
      <c r="JV41">
        <v>77558</v>
      </c>
      <c r="JW41">
        <v>92390</v>
      </c>
      <c r="JX41">
        <v>213758</v>
      </c>
      <c r="JY41">
        <v>361861</v>
      </c>
      <c r="JZ41">
        <v>429241</v>
      </c>
      <c r="KA41">
        <v>273100</v>
      </c>
      <c r="KB41">
        <v>188882</v>
      </c>
      <c r="KC41">
        <v>91226</v>
      </c>
      <c r="KD41">
        <v>207381</v>
      </c>
      <c r="KE41">
        <v>8393</v>
      </c>
      <c r="KF41">
        <v>2973</v>
      </c>
      <c r="KG41">
        <v>131494</v>
      </c>
      <c r="KH41">
        <v>189475</v>
      </c>
      <c r="KI41">
        <v>64555</v>
      </c>
      <c r="KJ41">
        <v>277429</v>
      </c>
      <c r="KK41">
        <v>96121</v>
      </c>
      <c r="KL41">
        <v>14140</v>
      </c>
      <c r="KM41">
        <v>64579</v>
      </c>
      <c r="KN41">
        <v>130280</v>
      </c>
      <c r="KO41">
        <v>50180</v>
      </c>
      <c r="KP41">
        <v>217458</v>
      </c>
      <c r="KQ41">
        <v>2212</v>
      </c>
      <c r="KR41">
        <v>110869</v>
      </c>
      <c r="KS41">
        <v>217973</v>
      </c>
      <c r="KT41">
        <v>323419</v>
      </c>
      <c r="KU41">
        <v>46923</v>
      </c>
      <c r="KV41">
        <v>173026</v>
      </c>
      <c r="KW41">
        <v>120403</v>
      </c>
      <c r="KX41">
        <v>154921</v>
      </c>
      <c r="KY41">
        <v>1629244</v>
      </c>
      <c r="KZ41">
        <v>60299</v>
      </c>
      <c r="LA41">
        <v>202661</v>
      </c>
      <c r="LB41">
        <v>173925</v>
      </c>
      <c r="LC41">
        <v>96048</v>
      </c>
      <c r="LD41">
        <v>115364</v>
      </c>
      <c r="LE41">
        <v>117522</v>
      </c>
      <c r="LF41">
        <v>1760</v>
      </c>
      <c r="LG41">
        <v>1378101</v>
      </c>
      <c r="LH41">
        <v>52912</v>
      </c>
      <c r="LI41">
        <v>177386</v>
      </c>
      <c r="LJ41">
        <v>37774</v>
      </c>
      <c r="LK41">
        <v>128678</v>
      </c>
      <c r="LL41">
        <v>31893</v>
      </c>
      <c r="LM41">
        <v>87257</v>
      </c>
      <c r="LN41">
        <v>7796</v>
      </c>
      <c r="LO41">
        <v>33600</v>
      </c>
      <c r="LP41">
        <v>6916.2338900000004</v>
      </c>
      <c r="LQ41">
        <v>698.45439999999996</v>
      </c>
    </row>
    <row r="42" spans="1:329" x14ac:dyDescent="0.25">
      <c r="A42" s="5" t="s">
        <v>364</v>
      </c>
      <c r="B42" s="5" t="s">
        <v>297</v>
      </c>
      <c r="C42" s="1">
        <v>3823536</v>
      </c>
      <c r="D42" s="1">
        <v>3835880</v>
      </c>
      <c r="E42" s="1">
        <v>3833495</v>
      </c>
      <c r="F42" s="1">
        <v>3870889</v>
      </c>
      <c r="G42" s="1">
        <v>3935778</v>
      </c>
      <c r="H42" s="1">
        <v>1404751</v>
      </c>
      <c r="I42" s="1">
        <v>1503429</v>
      </c>
      <c r="J42" s="1">
        <v>1546231</v>
      </c>
      <c r="K42" s="1">
        <v>1633467</v>
      </c>
      <c r="L42" s="1">
        <v>1671446</v>
      </c>
      <c r="M42" s="1">
        <v>1698048</v>
      </c>
      <c r="N42" s="1">
        <v>1298705</v>
      </c>
      <c r="O42" s="1">
        <v>334763</v>
      </c>
      <c r="P42" s="1">
        <v>64580</v>
      </c>
      <c r="Q42" s="1">
        <v>96453</v>
      </c>
      <c r="R42" s="1">
        <v>9124</v>
      </c>
      <c r="S42" s="1">
        <v>107</v>
      </c>
      <c r="T42" s="1">
        <v>3210660</v>
      </c>
      <c r="U42" s="1">
        <v>631733</v>
      </c>
      <c r="V42" s="1">
        <v>28496</v>
      </c>
      <c r="W42" s="1">
        <v>3481</v>
      </c>
      <c r="X42" s="1">
        <v>23</v>
      </c>
      <c r="Y42" s="2">
        <v>41.72</v>
      </c>
      <c r="Z42" s="1">
        <v>213710</v>
      </c>
      <c r="AA42" s="1">
        <v>220972</v>
      </c>
      <c r="AB42" s="1">
        <v>236559</v>
      </c>
      <c r="AC42" s="1">
        <v>221916</v>
      </c>
      <c r="AD42" s="1">
        <v>201196</v>
      </c>
      <c r="AE42" s="1">
        <v>245335</v>
      </c>
      <c r="AF42" s="1">
        <v>241917</v>
      </c>
      <c r="AG42" s="1">
        <v>236775</v>
      </c>
      <c r="AH42" s="1">
        <v>215576</v>
      </c>
      <c r="AI42" s="1">
        <v>230629</v>
      </c>
      <c r="AJ42" s="1">
        <v>244359</v>
      </c>
      <c r="AK42" s="1">
        <v>280376</v>
      </c>
      <c r="AL42" s="1">
        <v>281209</v>
      </c>
      <c r="AM42" s="1">
        <v>251488</v>
      </c>
      <c r="AN42" s="1">
        <v>210971</v>
      </c>
      <c r="AO42" s="1">
        <v>151769</v>
      </c>
      <c r="AP42" s="1">
        <v>97312</v>
      </c>
      <c r="AQ42" s="1">
        <v>88821</v>
      </c>
      <c r="AR42" s="1">
        <v>1877152</v>
      </c>
      <c r="AS42" s="1">
        <v>1993737</v>
      </c>
      <c r="AT42" s="1">
        <v>3032984</v>
      </c>
      <c r="AU42" s="1">
        <v>360833</v>
      </c>
      <c r="AV42" s="1">
        <v>19590</v>
      </c>
      <c r="AW42" s="1">
        <v>96923</v>
      </c>
      <c r="AX42" s="1">
        <v>2285</v>
      </c>
      <c r="AY42" s="1">
        <v>2782</v>
      </c>
      <c r="AZ42" s="1">
        <v>79270</v>
      </c>
      <c r="BA42" s="1">
        <v>276652</v>
      </c>
      <c r="BB42" s="1">
        <v>3199648</v>
      </c>
      <c r="BC42" s="1">
        <v>855587</v>
      </c>
      <c r="BD42" s="1">
        <v>1644244</v>
      </c>
      <c r="BE42" s="1">
        <v>102483</v>
      </c>
      <c r="BF42" s="1">
        <v>221886</v>
      </c>
      <c r="BG42" s="1">
        <v>375448</v>
      </c>
      <c r="BH42" s="1">
        <v>2776535</v>
      </c>
      <c r="BI42" s="1">
        <v>71990</v>
      </c>
      <c r="BJ42" s="1">
        <v>147342</v>
      </c>
      <c r="BK42" s="1">
        <v>814382</v>
      </c>
      <c r="BL42" s="1">
        <v>639965</v>
      </c>
      <c r="BM42" s="1">
        <v>280123</v>
      </c>
      <c r="BN42" s="1">
        <v>529993</v>
      </c>
      <c r="BO42" s="1">
        <v>292740</v>
      </c>
      <c r="BP42" s="1">
        <v>3156516</v>
      </c>
      <c r="BQ42" s="1">
        <v>8692</v>
      </c>
      <c r="BR42" s="1">
        <v>1938833</v>
      </c>
      <c r="BS42" s="1">
        <v>55398</v>
      </c>
      <c r="BT42" s="1">
        <v>1153593</v>
      </c>
      <c r="BU42" s="1">
        <v>1100867</v>
      </c>
      <c r="BV42" s="1">
        <v>532600</v>
      </c>
      <c r="BW42" s="1">
        <v>314009</v>
      </c>
      <c r="BX42" s="1">
        <v>37432</v>
      </c>
      <c r="BY42" s="1">
        <v>106677</v>
      </c>
      <c r="BZ42" s="1">
        <v>542530</v>
      </c>
      <c r="CA42" s="1">
        <v>29083</v>
      </c>
      <c r="CB42" s="1">
        <v>70875</v>
      </c>
      <c r="CC42" s="2">
        <v>2.35</v>
      </c>
      <c r="CD42" s="1">
        <v>453965</v>
      </c>
      <c r="CE42" s="1">
        <v>629517</v>
      </c>
      <c r="CF42" s="1">
        <v>239996</v>
      </c>
      <c r="CG42" s="1">
        <v>185461</v>
      </c>
      <c r="CH42" s="1">
        <v>80505</v>
      </c>
      <c r="CI42" s="1">
        <v>28656</v>
      </c>
      <c r="CJ42" s="1">
        <v>15368</v>
      </c>
      <c r="CK42" s="2">
        <v>54.84</v>
      </c>
      <c r="CL42" s="1">
        <v>58053</v>
      </c>
      <c r="CM42" s="1">
        <v>225212</v>
      </c>
      <c r="CN42" s="1">
        <v>240456</v>
      </c>
      <c r="CO42" s="1">
        <v>265452</v>
      </c>
      <c r="CP42" s="1">
        <v>328733</v>
      </c>
      <c r="CQ42" s="1">
        <v>286385</v>
      </c>
      <c r="CR42" s="1">
        <v>167082</v>
      </c>
      <c r="CS42" s="1">
        <v>62094</v>
      </c>
      <c r="CT42" s="1">
        <v>59120</v>
      </c>
      <c r="CU42" s="1">
        <v>496654</v>
      </c>
      <c r="CV42" s="1">
        <v>1077694</v>
      </c>
      <c r="CW42" s="1">
        <v>33489</v>
      </c>
      <c r="CX42" s="1">
        <v>66056</v>
      </c>
      <c r="CY42" s="1">
        <v>79207</v>
      </c>
      <c r="CZ42" s="1">
        <v>59278</v>
      </c>
      <c r="DA42" s="1">
        <v>44025</v>
      </c>
      <c r="DB42" s="1">
        <v>58557</v>
      </c>
      <c r="DC42" s="1">
        <v>70018</v>
      </c>
      <c r="DD42" s="1">
        <v>65817</v>
      </c>
      <c r="DE42" s="1">
        <v>68342</v>
      </c>
      <c r="DF42" s="1">
        <v>70854</v>
      </c>
      <c r="DG42" s="1">
        <v>75667</v>
      </c>
      <c r="DH42" s="1">
        <v>73661</v>
      </c>
      <c r="DI42" s="1">
        <v>147687</v>
      </c>
      <c r="DJ42" s="1">
        <v>205131</v>
      </c>
      <c r="DK42" s="1">
        <v>280383</v>
      </c>
      <c r="DL42" s="1">
        <v>152450</v>
      </c>
      <c r="DM42" s="1">
        <v>112484</v>
      </c>
      <c r="DN42" s="1">
        <v>93723</v>
      </c>
      <c r="DO42" s="1">
        <v>55390</v>
      </c>
      <c r="DP42" s="1">
        <v>47464</v>
      </c>
      <c r="DQ42" s="1">
        <v>65973</v>
      </c>
      <c r="DR42" s="1">
        <v>74959</v>
      </c>
      <c r="DS42" s="1">
        <v>81353</v>
      </c>
      <c r="DT42" s="1">
        <v>74455</v>
      </c>
      <c r="DU42" s="1">
        <v>59343</v>
      </c>
      <c r="DV42" s="1">
        <v>45889</v>
      </c>
      <c r="DW42" s="2">
        <v>59918.94</v>
      </c>
      <c r="DX42" s="2">
        <v>28439.31</v>
      </c>
      <c r="DY42" s="2">
        <v>1923.81</v>
      </c>
      <c r="DZ42" s="2">
        <v>417.23</v>
      </c>
      <c r="EA42" s="2">
        <v>2078.42</v>
      </c>
      <c r="EB42" s="2">
        <v>1653.42</v>
      </c>
      <c r="EC42" s="2">
        <v>3373.61</v>
      </c>
      <c r="ED42" s="2">
        <v>8863.3799999999992</v>
      </c>
      <c r="EE42" s="2">
        <v>5212.45</v>
      </c>
      <c r="EF42" s="2">
        <v>2103.36</v>
      </c>
      <c r="EG42" s="2">
        <v>12530.98</v>
      </c>
      <c r="EH42" s="2">
        <v>2339.4</v>
      </c>
      <c r="EI42" s="2">
        <v>1134.6600000000001</v>
      </c>
      <c r="EJ42" s="2">
        <v>805.33</v>
      </c>
      <c r="EK42" s="2">
        <v>131.37</v>
      </c>
      <c r="EL42" s="2">
        <v>376.32</v>
      </c>
      <c r="EM42" s="2">
        <v>11030.97</v>
      </c>
      <c r="EN42" s="2">
        <v>4523.8999999999996</v>
      </c>
      <c r="EO42" s="2">
        <v>1420.33</v>
      </c>
      <c r="EP42" s="1">
        <v>29546</v>
      </c>
      <c r="EQ42" s="1">
        <v>4007</v>
      </c>
      <c r="ER42" s="1">
        <v>695</v>
      </c>
      <c r="ES42" s="1">
        <v>5454</v>
      </c>
      <c r="ET42" s="1">
        <v>26301</v>
      </c>
      <c r="EU42" s="1">
        <v>50100</v>
      </c>
      <c r="EV42" s="1">
        <v>95096</v>
      </c>
      <c r="EW42" s="1">
        <v>6583</v>
      </c>
      <c r="EX42" s="1">
        <v>17638</v>
      </c>
      <c r="EY42" s="1">
        <v>2886</v>
      </c>
      <c r="EZ42" s="1">
        <v>237380</v>
      </c>
      <c r="FA42" s="1">
        <v>21066</v>
      </c>
      <c r="FB42" s="1">
        <v>132453</v>
      </c>
      <c r="FC42" s="1">
        <v>32263</v>
      </c>
      <c r="FD42" s="1">
        <v>22090</v>
      </c>
      <c r="FE42" s="1">
        <v>98182</v>
      </c>
      <c r="FF42" s="1">
        <v>3602</v>
      </c>
      <c r="FG42" s="1">
        <v>326564</v>
      </c>
      <c r="FH42" s="1">
        <v>47298</v>
      </c>
      <c r="FI42" s="1">
        <v>15614</v>
      </c>
      <c r="FJ42" s="1">
        <v>672</v>
      </c>
      <c r="FK42" s="1">
        <v>2456</v>
      </c>
      <c r="FL42" s="1">
        <v>5459</v>
      </c>
      <c r="FM42" s="1">
        <v>1041</v>
      </c>
      <c r="FN42" s="1">
        <v>77971</v>
      </c>
      <c r="FO42" s="1">
        <v>486266</v>
      </c>
      <c r="FP42" s="1">
        <v>92</v>
      </c>
      <c r="FQ42" s="1">
        <v>67</v>
      </c>
      <c r="FR42" s="1">
        <v>51</v>
      </c>
      <c r="FS42" s="1">
        <v>150</v>
      </c>
      <c r="FT42" s="1">
        <v>36</v>
      </c>
      <c r="FU42" s="1">
        <v>68</v>
      </c>
      <c r="FV42" s="1">
        <v>96</v>
      </c>
      <c r="FW42" s="1">
        <v>86</v>
      </c>
      <c r="FX42" s="1">
        <v>105</v>
      </c>
      <c r="FY42" s="1">
        <v>47</v>
      </c>
      <c r="FZ42" s="3">
        <v>-4.7E-2</v>
      </c>
      <c r="GA42" s="3">
        <v>0.39600000000000002</v>
      </c>
      <c r="GB42" s="3">
        <v>0.40899999999999997</v>
      </c>
      <c r="GC42" s="3">
        <v>-0.29099999999999998</v>
      </c>
      <c r="GD42" s="3">
        <v>0.17</v>
      </c>
      <c r="GE42" s="3">
        <v>0.158</v>
      </c>
      <c r="GF42" s="3">
        <v>5.0999999999999997E-2</v>
      </c>
      <c r="GG42" s="3">
        <v>0.248</v>
      </c>
      <c r="GH42" s="3">
        <v>-3.4000000000000002E-2</v>
      </c>
      <c r="GI42" s="3">
        <v>0.17699999999999999</v>
      </c>
      <c r="GJ42" s="3">
        <v>-1.5449999999999999</v>
      </c>
      <c r="GK42" s="3">
        <v>-0.374</v>
      </c>
      <c r="GL42" s="3">
        <v>-0.63700000000000001</v>
      </c>
      <c r="GM42" s="3">
        <v>-0.246</v>
      </c>
      <c r="GN42" s="3">
        <v>-0.158</v>
      </c>
      <c r="GO42" s="3">
        <v>-6.8000000000000005E-2</v>
      </c>
      <c r="GP42" s="3">
        <v>-0.14199999999999999</v>
      </c>
      <c r="GQ42" s="3">
        <v>7.3999999999999996E-2</v>
      </c>
      <c r="GR42" s="3">
        <v>0.05</v>
      </c>
      <c r="GS42" s="3">
        <v>-1.9E-2</v>
      </c>
      <c r="GT42" s="3">
        <v>-4.4999999999999998E-2</v>
      </c>
      <c r="GU42" s="3">
        <v>-0.151</v>
      </c>
      <c r="GV42" s="3">
        <v>-0.24299999999999999</v>
      </c>
      <c r="GW42" s="3">
        <v>-6.6000000000000003E-2</v>
      </c>
      <c r="GX42" s="3">
        <v>-3.5999999999999997E-2</v>
      </c>
      <c r="GY42" s="3">
        <v>2E-3</v>
      </c>
      <c r="GZ42" s="4">
        <v>103</v>
      </c>
      <c r="HA42" s="4">
        <v>111</v>
      </c>
      <c r="HB42" s="4">
        <v>100</v>
      </c>
      <c r="HC42" s="4">
        <v>105</v>
      </c>
      <c r="HD42" s="4">
        <v>93</v>
      </c>
      <c r="HE42" s="4">
        <v>92</v>
      </c>
      <c r="HF42" s="1">
        <v>10067</v>
      </c>
      <c r="HG42" s="1">
        <v>10020</v>
      </c>
      <c r="HH42" s="1">
        <v>8209</v>
      </c>
      <c r="HI42" s="1">
        <v>5895</v>
      </c>
      <c r="HJ42" s="1">
        <v>4883</v>
      </c>
      <c r="HK42" s="1">
        <v>6208</v>
      </c>
      <c r="HL42" s="1">
        <v>4174</v>
      </c>
      <c r="HM42" s="1">
        <v>12787</v>
      </c>
      <c r="HN42" s="1">
        <v>17813</v>
      </c>
      <c r="HO42" s="1">
        <v>24972</v>
      </c>
      <c r="HP42" s="1">
        <v>37875</v>
      </c>
      <c r="HQ42" s="1">
        <v>58330</v>
      </c>
      <c r="HR42" s="1">
        <v>67656</v>
      </c>
      <c r="HS42" s="1">
        <v>209309</v>
      </c>
      <c r="HT42" s="1">
        <v>213250</v>
      </c>
      <c r="HU42" s="1">
        <v>204741</v>
      </c>
      <c r="HV42" s="1">
        <v>109877</v>
      </c>
      <c r="HW42" s="1">
        <v>101538</v>
      </c>
      <c r="HX42" s="1">
        <v>49096</v>
      </c>
      <c r="HY42" s="1">
        <v>41941</v>
      </c>
      <c r="HZ42" s="1">
        <v>15811</v>
      </c>
      <c r="IA42" s="1">
        <v>12946</v>
      </c>
      <c r="IB42" s="1">
        <v>3949</v>
      </c>
      <c r="IC42" s="1">
        <v>4809</v>
      </c>
      <c r="ID42" s="1">
        <v>141398</v>
      </c>
      <c r="IE42" s="1">
        <v>3334</v>
      </c>
      <c r="IF42" s="1">
        <v>3154</v>
      </c>
      <c r="IG42" s="1">
        <v>3873</v>
      </c>
      <c r="IH42" s="1">
        <v>4616</v>
      </c>
      <c r="II42" s="1">
        <v>4794</v>
      </c>
      <c r="IJ42" s="1">
        <v>9222</v>
      </c>
      <c r="IK42" s="1">
        <v>12513</v>
      </c>
      <c r="IL42" s="1">
        <v>19069</v>
      </c>
      <c r="IM42" s="1">
        <v>23036</v>
      </c>
      <c r="IN42" s="1">
        <v>27711</v>
      </c>
      <c r="IO42" s="1">
        <v>24634</v>
      </c>
      <c r="IP42" s="1">
        <v>25728</v>
      </c>
      <c r="IQ42" s="1">
        <v>22880</v>
      </c>
      <c r="IR42" s="1">
        <v>18046</v>
      </c>
      <c r="IS42" s="1">
        <v>15547</v>
      </c>
      <c r="IT42" s="1">
        <v>25845</v>
      </c>
      <c r="IU42" s="1">
        <v>15648</v>
      </c>
      <c r="IV42" s="1">
        <v>16960</v>
      </c>
      <c r="IW42">
        <v>4851</v>
      </c>
      <c r="IX42">
        <v>3162</v>
      </c>
      <c r="IY42">
        <v>2115</v>
      </c>
      <c r="IZ42">
        <v>26659</v>
      </c>
      <c r="JA42">
        <v>598</v>
      </c>
      <c r="JB42">
        <v>1436561</v>
      </c>
      <c r="JC42">
        <v>44777</v>
      </c>
      <c r="JD42">
        <v>5762</v>
      </c>
      <c r="JE42">
        <v>4623</v>
      </c>
      <c r="JF42">
        <v>4658</v>
      </c>
      <c r="JG42">
        <v>3375</v>
      </c>
      <c r="JH42">
        <v>2113</v>
      </c>
      <c r="JI42">
        <v>1636</v>
      </c>
      <c r="JJ42">
        <v>36002</v>
      </c>
      <c r="JK42">
        <v>484</v>
      </c>
      <c r="JL42">
        <v>152501</v>
      </c>
      <c r="JM42">
        <v>25197</v>
      </c>
      <c r="JN42">
        <v>31586</v>
      </c>
      <c r="JO42">
        <v>36095</v>
      </c>
      <c r="JP42">
        <v>43635</v>
      </c>
      <c r="JQ42">
        <v>31665</v>
      </c>
      <c r="JR42">
        <v>18392</v>
      </c>
      <c r="JS42">
        <v>16093</v>
      </c>
      <c r="JT42">
        <v>11581</v>
      </c>
      <c r="JU42">
        <v>405</v>
      </c>
      <c r="JV42">
        <v>75766</v>
      </c>
      <c r="JW42">
        <v>93261</v>
      </c>
      <c r="JX42">
        <v>189518</v>
      </c>
      <c r="JY42">
        <v>207033</v>
      </c>
      <c r="JZ42">
        <v>479995</v>
      </c>
      <c r="KA42">
        <v>432311</v>
      </c>
      <c r="KB42">
        <v>234559</v>
      </c>
      <c r="KC42">
        <v>69539</v>
      </c>
      <c r="KD42">
        <v>125159</v>
      </c>
      <c r="KE42">
        <v>14748</v>
      </c>
      <c r="KF42">
        <v>11830</v>
      </c>
      <c r="KG42">
        <v>115708</v>
      </c>
      <c r="KH42">
        <v>264096</v>
      </c>
      <c r="KI42">
        <v>63239</v>
      </c>
      <c r="KJ42">
        <v>270173</v>
      </c>
      <c r="KK42">
        <v>89245</v>
      </c>
      <c r="KL42">
        <v>24670</v>
      </c>
      <c r="KM42">
        <v>43837</v>
      </c>
      <c r="KN42">
        <v>114248</v>
      </c>
      <c r="KO42">
        <v>34885</v>
      </c>
      <c r="KP42">
        <v>113371</v>
      </c>
      <c r="KQ42">
        <v>1576</v>
      </c>
      <c r="KR42">
        <v>76526</v>
      </c>
      <c r="KS42">
        <v>250102</v>
      </c>
      <c r="KT42">
        <v>327975</v>
      </c>
      <c r="KU42">
        <v>40716</v>
      </c>
      <c r="KV42">
        <v>133275</v>
      </c>
      <c r="KW42">
        <v>113837</v>
      </c>
      <c r="KX42">
        <v>138751</v>
      </c>
      <c r="KY42">
        <v>1453339</v>
      </c>
      <c r="KZ42">
        <v>63052</v>
      </c>
      <c r="LA42">
        <v>204338</v>
      </c>
      <c r="LB42">
        <v>203179</v>
      </c>
      <c r="LC42">
        <v>130221</v>
      </c>
      <c r="LD42">
        <v>71183</v>
      </c>
      <c r="LE42">
        <v>115445</v>
      </c>
      <c r="LF42">
        <v>2051</v>
      </c>
      <c r="LG42">
        <v>1747688</v>
      </c>
      <c r="LH42">
        <v>10202</v>
      </c>
      <c r="LI42">
        <v>65247</v>
      </c>
      <c r="LJ42">
        <v>5415</v>
      </c>
      <c r="LK42">
        <v>47722</v>
      </c>
      <c r="LL42">
        <v>4765</v>
      </c>
      <c r="LM42">
        <v>16438</v>
      </c>
      <c r="LN42">
        <v>1329</v>
      </c>
      <c r="LO42">
        <v>8335</v>
      </c>
      <c r="LP42">
        <v>5406.0463900000004</v>
      </c>
      <c r="LQ42">
        <v>871.30717000000004</v>
      </c>
    </row>
    <row r="43" spans="1:329" x14ac:dyDescent="0.25">
      <c r="A43" s="5" t="s">
        <v>365</v>
      </c>
      <c r="B43" s="5" t="s">
        <v>298</v>
      </c>
      <c r="C43" s="1">
        <v>2368135</v>
      </c>
      <c r="D43" s="1">
        <v>3743457</v>
      </c>
      <c r="E43" s="1">
        <v>5645228</v>
      </c>
      <c r="F43" s="1">
        <v>6537167</v>
      </c>
      <c r="G43" s="1">
        <v>6969999</v>
      </c>
      <c r="H43" s="1">
        <v>953525</v>
      </c>
      <c r="I43" s="1">
        <v>1558515</v>
      </c>
      <c r="J43" s="1">
        <v>2451575</v>
      </c>
      <c r="K43" s="1">
        <v>2924869</v>
      </c>
      <c r="L43" s="1">
        <v>3082801</v>
      </c>
      <c r="M43" s="1">
        <v>3041058</v>
      </c>
      <c r="N43" s="1">
        <v>1313595</v>
      </c>
      <c r="O43" s="1">
        <v>1611274</v>
      </c>
      <c r="P43" s="1">
        <v>116189</v>
      </c>
      <c r="Q43" s="1">
        <v>269793</v>
      </c>
      <c r="R43" s="1">
        <v>38907</v>
      </c>
      <c r="S43" s="1">
        <v>277</v>
      </c>
      <c r="T43" s="1">
        <v>4820832</v>
      </c>
      <c r="U43" s="1">
        <v>1659744</v>
      </c>
      <c r="V43" s="1">
        <v>56591</v>
      </c>
      <c r="W43" s="1">
        <v>6349</v>
      </c>
      <c r="X43" s="1">
        <v>445</v>
      </c>
      <c r="Y43" s="2">
        <v>33.81</v>
      </c>
      <c r="Z43" s="1">
        <v>423313</v>
      </c>
      <c r="AA43" s="1">
        <v>393124</v>
      </c>
      <c r="AB43" s="1">
        <v>385480</v>
      </c>
      <c r="AC43" s="1">
        <v>364069</v>
      </c>
      <c r="AD43" s="1">
        <v>511323</v>
      </c>
      <c r="AE43" s="1">
        <v>659324</v>
      </c>
      <c r="AF43" s="1">
        <v>553427</v>
      </c>
      <c r="AG43" s="1">
        <v>483626</v>
      </c>
      <c r="AH43" s="1">
        <v>408669</v>
      </c>
      <c r="AI43" s="1">
        <v>397683</v>
      </c>
      <c r="AJ43" s="1">
        <v>375312</v>
      </c>
      <c r="AK43" s="1">
        <v>382404</v>
      </c>
      <c r="AL43" s="1">
        <v>345162</v>
      </c>
      <c r="AM43" s="1">
        <v>277946</v>
      </c>
      <c r="AN43" s="1">
        <v>217353</v>
      </c>
      <c r="AO43" s="1">
        <v>148929</v>
      </c>
      <c r="AP43" s="1">
        <v>100237</v>
      </c>
      <c r="AQ43" s="1">
        <v>109783</v>
      </c>
      <c r="AR43" s="1">
        <v>3140392</v>
      </c>
      <c r="AS43" s="1">
        <v>3396775</v>
      </c>
      <c r="AT43" s="1">
        <v>3808399</v>
      </c>
      <c r="AU43" s="1">
        <v>1010960</v>
      </c>
      <c r="AV43" s="1">
        <v>29207</v>
      </c>
      <c r="AW43" s="1">
        <v>499928</v>
      </c>
      <c r="AX43" s="1">
        <v>9947</v>
      </c>
      <c r="AY43" s="1">
        <v>10549</v>
      </c>
      <c r="AZ43" s="1">
        <v>166739</v>
      </c>
      <c r="BA43" s="1">
        <v>1001622</v>
      </c>
      <c r="BB43" s="1">
        <v>5335250</v>
      </c>
      <c r="BC43" s="1">
        <v>1897657</v>
      </c>
      <c r="BD43" s="1">
        <v>2268716</v>
      </c>
      <c r="BE43" s="1">
        <v>242787</v>
      </c>
      <c r="BF43" s="1">
        <v>256198</v>
      </c>
      <c r="BG43" s="1">
        <v>669892</v>
      </c>
      <c r="BH43" s="1">
        <v>4459857</v>
      </c>
      <c r="BI43" s="1">
        <v>115800</v>
      </c>
      <c r="BJ43" s="1">
        <v>195658</v>
      </c>
      <c r="BK43" s="1">
        <v>949484</v>
      </c>
      <c r="BL43" s="1">
        <v>962533</v>
      </c>
      <c r="BM43" s="1">
        <v>415848</v>
      </c>
      <c r="BN43" s="1">
        <v>1150143</v>
      </c>
      <c r="BO43" s="1">
        <v>670391</v>
      </c>
      <c r="BP43" s="1">
        <v>5267956</v>
      </c>
      <c r="BQ43" s="1">
        <v>26093</v>
      </c>
      <c r="BR43" s="1">
        <v>3590488</v>
      </c>
      <c r="BS43" s="1">
        <v>100816</v>
      </c>
      <c r="BT43" s="1">
        <v>1550559</v>
      </c>
      <c r="BU43" s="1">
        <v>1589783</v>
      </c>
      <c r="BV43" s="1">
        <v>1335086</v>
      </c>
      <c r="BW43" s="1">
        <v>479856</v>
      </c>
      <c r="BX43" s="1">
        <v>73374</v>
      </c>
      <c r="BY43" s="1">
        <v>246829</v>
      </c>
      <c r="BZ43" s="1">
        <v>622472</v>
      </c>
      <c r="CA43" s="1">
        <v>51634</v>
      </c>
      <c r="CB43" s="1">
        <v>115173</v>
      </c>
      <c r="CC43" s="2">
        <v>2.2200000000000002</v>
      </c>
      <c r="CD43" s="1">
        <v>1073437</v>
      </c>
      <c r="CE43" s="1">
        <v>944242</v>
      </c>
      <c r="CF43" s="1">
        <v>413085</v>
      </c>
      <c r="CG43" s="1">
        <v>300426</v>
      </c>
      <c r="CH43" s="1">
        <v>124755</v>
      </c>
      <c r="CI43" s="1">
        <v>44654</v>
      </c>
      <c r="CJ43" s="1">
        <v>24271</v>
      </c>
      <c r="CK43" s="2">
        <v>46.72</v>
      </c>
      <c r="CL43" s="1">
        <v>164342</v>
      </c>
      <c r="CM43" s="1">
        <v>626748</v>
      </c>
      <c r="CN43" s="1">
        <v>536693</v>
      </c>
      <c r="CO43" s="1">
        <v>495597</v>
      </c>
      <c r="CP43" s="1">
        <v>488193</v>
      </c>
      <c r="CQ43" s="1">
        <v>350256</v>
      </c>
      <c r="CR43" s="1">
        <v>183920</v>
      </c>
      <c r="CS43" s="1">
        <v>79121</v>
      </c>
      <c r="CT43" s="1">
        <v>149098</v>
      </c>
      <c r="CU43" s="1">
        <v>1200285</v>
      </c>
      <c r="CV43" s="1">
        <v>1575485</v>
      </c>
      <c r="CW43" s="1">
        <v>35939</v>
      </c>
      <c r="CX43" s="1">
        <v>64694</v>
      </c>
      <c r="CY43" s="1">
        <v>82186</v>
      </c>
      <c r="CZ43" s="1">
        <v>133348</v>
      </c>
      <c r="DA43" s="1">
        <v>87255</v>
      </c>
      <c r="DB43" s="1">
        <v>102322</v>
      </c>
      <c r="DC43" s="1">
        <v>122246</v>
      </c>
      <c r="DD43" s="1">
        <v>117309</v>
      </c>
      <c r="DE43" s="1">
        <v>125592</v>
      </c>
      <c r="DF43" s="1">
        <v>132767</v>
      </c>
      <c r="DG43" s="1">
        <v>142384</v>
      </c>
      <c r="DH43" s="1">
        <v>132657</v>
      </c>
      <c r="DI43" s="1">
        <v>259282</v>
      </c>
      <c r="DJ43" s="1">
        <v>342758</v>
      </c>
      <c r="DK43" s="1">
        <v>448773</v>
      </c>
      <c r="DL43" s="1">
        <v>241717</v>
      </c>
      <c r="DM43" s="1">
        <v>188942</v>
      </c>
      <c r="DN43" s="1">
        <v>192785</v>
      </c>
      <c r="DO43" s="1">
        <v>154731</v>
      </c>
      <c r="DP43" s="1">
        <v>45391</v>
      </c>
      <c r="DQ43" s="1">
        <v>64600</v>
      </c>
      <c r="DR43" s="1">
        <v>74308</v>
      </c>
      <c r="DS43" s="1">
        <v>78776</v>
      </c>
      <c r="DT43" s="1">
        <v>73266</v>
      </c>
      <c r="DU43" s="1">
        <v>54633</v>
      </c>
      <c r="DV43" s="1">
        <v>43201</v>
      </c>
      <c r="DW43" s="2">
        <v>60261.22</v>
      </c>
      <c r="DX43" s="2">
        <v>28424.21</v>
      </c>
      <c r="DY43" s="2">
        <v>1922.55</v>
      </c>
      <c r="DZ43" s="2">
        <v>409.69</v>
      </c>
      <c r="EA43" s="2">
        <v>2120.5300000000002</v>
      </c>
      <c r="EB43" s="2">
        <v>1751.58</v>
      </c>
      <c r="EC43" s="2">
        <v>3370.74</v>
      </c>
      <c r="ED43" s="2">
        <v>8918.2000000000007</v>
      </c>
      <c r="EE43" s="2">
        <v>5086.3599999999997</v>
      </c>
      <c r="EF43" s="2">
        <v>2098.5</v>
      </c>
      <c r="EG43" s="2">
        <v>12835.45</v>
      </c>
      <c r="EH43" s="2">
        <v>2341.71</v>
      </c>
      <c r="EI43" s="2">
        <v>1136.6500000000001</v>
      </c>
      <c r="EJ43" s="2">
        <v>809.01</v>
      </c>
      <c r="EK43" s="2">
        <v>130.63999999999999</v>
      </c>
      <c r="EL43" s="2">
        <v>380.78</v>
      </c>
      <c r="EM43" s="2">
        <v>10999.5</v>
      </c>
      <c r="EN43" s="2">
        <v>4488.33</v>
      </c>
      <c r="EO43" s="2">
        <v>1461</v>
      </c>
      <c r="EP43" s="1">
        <v>32146</v>
      </c>
      <c r="EQ43" s="1">
        <v>3967</v>
      </c>
      <c r="ER43" s="1">
        <v>635</v>
      </c>
      <c r="ES43" s="1">
        <v>6622</v>
      </c>
      <c r="ET43" s="1">
        <v>35532</v>
      </c>
      <c r="EU43" s="1">
        <v>63943</v>
      </c>
      <c r="EV43" s="1">
        <v>100817</v>
      </c>
      <c r="EW43" s="1">
        <v>6372</v>
      </c>
      <c r="EX43" s="1">
        <v>21633</v>
      </c>
      <c r="EY43" s="1">
        <v>3735</v>
      </c>
      <c r="EZ43" s="1">
        <v>275483</v>
      </c>
      <c r="FA43" s="1">
        <v>22177</v>
      </c>
      <c r="FB43" s="1">
        <v>146204</v>
      </c>
      <c r="FC43" s="1">
        <v>40193</v>
      </c>
      <c r="FD43" s="1">
        <v>27053</v>
      </c>
      <c r="FE43" s="1">
        <v>126399</v>
      </c>
      <c r="FF43" s="1">
        <v>4800</v>
      </c>
      <c r="FG43" s="1">
        <v>388623</v>
      </c>
      <c r="FH43" s="1">
        <v>65327</v>
      </c>
      <c r="FI43" s="1">
        <v>16057</v>
      </c>
      <c r="FJ43" s="1">
        <v>938</v>
      </c>
      <c r="FK43" s="1">
        <v>2489</v>
      </c>
      <c r="FL43" s="1">
        <v>7084</v>
      </c>
      <c r="FM43" s="1">
        <v>1261</v>
      </c>
      <c r="FN43" s="1">
        <v>87758</v>
      </c>
      <c r="FO43" s="1">
        <v>577469</v>
      </c>
      <c r="FP43" s="1">
        <v>141</v>
      </c>
      <c r="FQ43" s="1">
        <v>107</v>
      </c>
      <c r="FR43" s="1">
        <v>93</v>
      </c>
      <c r="FS43" s="1">
        <v>100</v>
      </c>
      <c r="FT43" s="1">
        <v>116</v>
      </c>
      <c r="FU43" s="1">
        <v>105</v>
      </c>
      <c r="FV43" s="1">
        <v>146</v>
      </c>
      <c r="FW43" s="1">
        <v>123</v>
      </c>
      <c r="FX43" s="1">
        <v>156</v>
      </c>
      <c r="FY43" s="1">
        <v>122</v>
      </c>
      <c r="FZ43" s="3">
        <v>0.314</v>
      </c>
      <c r="GA43" s="3">
        <v>-0.89400000000000002</v>
      </c>
      <c r="GB43" s="3">
        <v>-0.73399999999999999</v>
      </c>
      <c r="GC43" s="3">
        <v>-0.20300000000000001</v>
      </c>
      <c r="GD43" s="3">
        <v>0.59099999999999997</v>
      </c>
      <c r="GE43" s="3">
        <v>0.161</v>
      </c>
      <c r="GF43" s="3">
        <v>6.8000000000000005E-2</v>
      </c>
      <c r="GG43" s="3">
        <v>-0.02</v>
      </c>
      <c r="GH43" s="3">
        <v>1.145</v>
      </c>
      <c r="GI43" s="3">
        <v>-0.46400000000000002</v>
      </c>
      <c r="GJ43" s="3">
        <v>-0.53900000000000003</v>
      </c>
      <c r="GK43" s="3">
        <v>-8.5000000000000006E-2</v>
      </c>
      <c r="GL43" s="3">
        <v>1.3919999999999999</v>
      </c>
      <c r="GM43" s="3">
        <v>-7.0000000000000007E-2</v>
      </c>
      <c r="GN43" s="3">
        <v>-0.216</v>
      </c>
      <c r="GO43" s="3">
        <v>-0.29199999999999998</v>
      </c>
      <c r="GP43" s="3">
        <v>-0.61699999999999999</v>
      </c>
      <c r="GQ43" s="3">
        <v>0.17899999999999999</v>
      </c>
      <c r="GR43" s="3">
        <v>7.2999999999999995E-2</v>
      </c>
      <c r="GS43" s="3">
        <v>-0.82199999999999995</v>
      </c>
      <c r="GT43" s="3">
        <v>-8.9999999999999993E-3</v>
      </c>
      <c r="GU43" s="3">
        <v>-5.0999999999999997E-2</v>
      </c>
      <c r="GV43" s="3">
        <v>0.161</v>
      </c>
      <c r="GW43" s="3">
        <v>-8.8999999999999996E-2</v>
      </c>
      <c r="GX43" s="3">
        <v>-0.06</v>
      </c>
      <c r="GY43" s="3">
        <v>3.5999999999999997E-2</v>
      </c>
      <c r="GZ43" s="4">
        <v>107</v>
      </c>
      <c r="HA43" s="4">
        <v>111</v>
      </c>
      <c r="HB43" s="4">
        <v>107</v>
      </c>
      <c r="HC43" s="4">
        <v>100</v>
      </c>
      <c r="HD43" s="4">
        <v>112</v>
      </c>
      <c r="HE43" s="4">
        <v>96</v>
      </c>
      <c r="HF43" s="1">
        <v>10157</v>
      </c>
      <c r="HG43" s="1">
        <v>8404</v>
      </c>
      <c r="HH43" s="1">
        <v>7066</v>
      </c>
      <c r="HI43" s="1">
        <v>5635</v>
      </c>
      <c r="HJ43" s="1">
        <v>4904</v>
      </c>
      <c r="HK43" s="1">
        <v>4962</v>
      </c>
      <c r="HL43" s="1">
        <v>3416</v>
      </c>
      <c r="HM43" s="1">
        <v>9137</v>
      </c>
      <c r="HN43" s="1">
        <v>12450</v>
      </c>
      <c r="HO43" s="1">
        <v>14634</v>
      </c>
      <c r="HP43" s="1">
        <v>19883</v>
      </c>
      <c r="HQ43" s="1">
        <v>27118</v>
      </c>
      <c r="HR43" s="1">
        <v>30018</v>
      </c>
      <c r="HS43" s="1">
        <v>95963</v>
      </c>
      <c r="HT43" s="1">
        <v>111349</v>
      </c>
      <c r="HU43" s="1">
        <v>139399</v>
      </c>
      <c r="HV43" s="1">
        <v>104851</v>
      </c>
      <c r="HW43" s="1">
        <v>172315</v>
      </c>
      <c r="HX43" s="1">
        <v>114725</v>
      </c>
      <c r="HY43" s="1">
        <v>113419</v>
      </c>
      <c r="HZ43" s="1">
        <v>46395</v>
      </c>
      <c r="IA43" s="1">
        <v>37710</v>
      </c>
      <c r="IB43" s="1">
        <v>10662</v>
      </c>
      <c r="IC43" s="1">
        <v>10000</v>
      </c>
      <c r="ID43" s="1">
        <v>187586</v>
      </c>
      <c r="IE43" s="1">
        <v>6971</v>
      </c>
      <c r="IF43" s="1">
        <v>6598</v>
      </c>
      <c r="IG43" s="1">
        <v>7630</v>
      </c>
      <c r="IH43" s="1">
        <v>8173</v>
      </c>
      <c r="II43" s="1">
        <v>8522</v>
      </c>
      <c r="IJ43" s="1">
        <v>12208</v>
      </c>
      <c r="IK43" s="1">
        <v>15554</v>
      </c>
      <c r="IL43" s="1">
        <v>24200</v>
      </c>
      <c r="IM43" s="1">
        <v>32147</v>
      </c>
      <c r="IN43" s="1">
        <v>55654</v>
      </c>
      <c r="IO43" s="1">
        <v>71459</v>
      </c>
      <c r="IP43" s="1">
        <v>90988</v>
      </c>
      <c r="IQ43" s="1">
        <v>116056</v>
      </c>
      <c r="IR43" s="1">
        <v>112616</v>
      </c>
      <c r="IS43" s="1">
        <v>111899</v>
      </c>
      <c r="IT43" s="1">
        <v>204071</v>
      </c>
      <c r="IU43" s="1">
        <v>138699</v>
      </c>
      <c r="IV43" s="1">
        <v>172713</v>
      </c>
      <c r="IW43">
        <v>60618</v>
      </c>
      <c r="IX43">
        <v>34760</v>
      </c>
      <c r="IY43">
        <v>18351</v>
      </c>
      <c r="IZ43">
        <v>36348</v>
      </c>
      <c r="JA43">
        <v>783</v>
      </c>
      <c r="JB43">
        <v>927606</v>
      </c>
      <c r="JC43">
        <v>163703</v>
      </c>
      <c r="JD43">
        <v>6346</v>
      </c>
      <c r="JE43">
        <v>18570</v>
      </c>
      <c r="JF43">
        <v>30018</v>
      </c>
      <c r="JG43">
        <v>20506</v>
      </c>
      <c r="JH43">
        <v>9257</v>
      </c>
      <c r="JI43">
        <v>7275</v>
      </c>
      <c r="JJ43">
        <v>47226</v>
      </c>
      <c r="JK43">
        <v>1229</v>
      </c>
      <c r="JL43">
        <v>201711</v>
      </c>
      <c r="JM43">
        <v>79054</v>
      </c>
      <c r="JN43">
        <v>49855</v>
      </c>
      <c r="JO43">
        <v>133441</v>
      </c>
      <c r="JP43">
        <v>289876</v>
      </c>
      <c r="JQ43">
        <v>364414</v>
      </c>
      <c r="JR43">
        <v>201620</v>
      </c>
      <c r="JS43">
        <v>162241</v>
      </c>
      <c r="JT43">
        <v>30467</v>
      </c>
      <c r="JU43">
        <v>844</v>
      </c>
      <c r="JV43">
        <v>365944</v>
      </c>
      <c r="JW43">
        <v>491938</v>
      </c>
      <c r="JX43">
        <v>694940</v>
      </c>
      <c r="JY43">
        <v>487535</v>
      </c>
      <c r="JZ43">
        <v>314166</v>
      </c>
      <c r="KA43">
        <v>146995</v>
      </c>
      <c r="KB43">
        <v>110183</v>
      </c>
      <c r="KC43">
        <v>47571</v>
      </c>
      <c r="KD43">
        <v>85987</v>
      </c>
      <c r="KE43">
        <v>14101</v>
      </c>
      <c r="KF43">
        <v>15519</v>
      </c>
      <c r="KG43">
        <v>153426</v>
      </c>
      <c r="KH43">
        <v>278879</v>
      </c>
      <c r="KI43">
        <v>92193</v>
      </c>
      <c r="KJ43">
        <v>413369</v>
      </c>
      <c r="KK43">
        <v>123313</v>
      </c>
      <c r="KL43">
        <v>24448</v>
      </c>
      <c r="KM43">
        <v>78433</v>
      </c>
      <c r="KN43">
        <v>206268</v>
      </c>
      <c r="KO43">
        <v>72442</v>
      </c>
      <c r="KP43">
        <v>247656</v>
      </c>
      <c r="KQ43">
        <v>2711</v>
      </c>
      <c r="KR43">
        <v>133498</v>
      </c>
      <c r="KS43">
        <v>305988</v>
      </c>
      <c r="KT43">
        <v>429138</v>
      </c>
      <c r="KU43">
        <v>84737</v>
      </c>
      <c r="KV43">
        <v>268670</v>
      </c>
      <c r="KW43">
        <v>145727</v>
      </c>
      <c r="KX43">
        <v>155203</v>
      </c>
      <c r="KY43">
        <v>2294485</v>
      </c>
      <c r="KZ43">
        <v>104419</v>
      </c>
      <c r="LA43">
        <v>233730</v>
      </c>
      <c r="LB43">
        <v>215850</v>
      </c>
      <c r="LC43">
        <v>157023</v>
      </c>
      <c r="LD43">
        <v>89284</v>
      </c>
      <c r="LE43">
        <v>148079</v>
      </c>
      <c r="LF43">
        <v>2849</v>
      </c>
      <c r="LG43">
        <v>2225382</v>
      </c>
      <c r="LH43">
        <v>48497</v>
      </c>
      <c r="LI43">
        <v>208250</v>
      </c>
      <c r="LJ43">
        <v>16900</v>
      </c>
      <c r="LK43">
        <v>111296</v>
      </c>
      <c r="LL43">
        <v>27436</v>
      </c>
      <c r="LM43">
        <v>77509</v>
      </c>
      <c r="LN43">
        <v>4297</v>
      </c>
      <c r="LO43">
        <v>25692</v>
      </c>
      <c r="LP43">
        <v>6234.5610399999996</v>
      </c>
      <c r="LQ43">
        <v>1101.0225</v>
      </c>
    </row>
    <row r="44" spans="1:329" x14ac:dyDescent="0.25">
      <c r="A44" s="5" t="s">
        <v>366</v>
      </c>
      <c r="B44" s="5" t="s">
        <v>299</v>
      </c>
      <c r="C44" s="1">
        <v>4728111</v>
      </c>
      <c r="D44" s="1">
        <v>5159020</v>
      </c>
      <c r="E44" s="1">
        <v>5352223</v>
      </c>
      <c r="F44" s="1">
        <v>5675580</v>
      </c>
      <c r="G44" s="1">
        <v>5965724</v>
      </c>
      <c r="H44" s="1">
        <v>1656897</v>
      </c>
      <c r="I44" s="1">
        <v>1825473</v>
      </c>
      <c r="J44" s="1">
        <v>1881087</v>
      </c>
      <c r="K44" s="1">
        <v>2047518</v>
      </c>
      <c r="L44" s="1">
        <v>2141944</v>
      </c>
      <c r="M44" s="1">
        <v>2134119</v>
      </c>
      <c r="N44" s="1">
        <v>1498745</v>
      </c>
      <c r="O44" s="1">
        <v>548773</v>
      </c>
      <c r="P44" s="1">
        <v>86601</v>
      </c>
      <c r="Q44" s="1">
        <v>164803</v>
      </c>
      <c r="R44" s="1">
        <v>11591</v>
      </c>
      <c r="S44" s="1">
        <v>138</v>
      </c>
      <c r="T44" s="1">
        <v>4890892</v>
      </c>
      <c r="U44" s="1">
        <v>756065</v>
      </c>
      <c r="V44" s="1">
        <v>28623</v>
      </c>
      <c r="W44" s="1">
        <v>1873</v>
      </c>
      <c r="X44" s="1">
        <v>28</v>
      </c>
      <c r="Y44" s="2">
        <v>35.450000000000003</v>
      </c>
      <c r="Z44" s="1">
        <v>373194</v>
      </c>
      <c r="AA44" s="1">
        <v>384230</v>
      </c>
      <c r="AB44" s="1">
        <v>404855</v>
      </c>
      <c r="AC44" s="1">
        <v>381669</v>
      </c>
      <c r="AD44" s="1">
        <v>352335</v>
      </c>
      <c r="AE44" s="1">
        <v>418939</v>
      </c>
      <c r="AF44" s="1">
        <v>408475</v>
      </c>
      <c r="AG44" s="1">
        <v>393247</v>
      </c>
      <c r="AH44" s="1">
        <v>355005</v>
      </c>
      <c r="AI44" s="1">
        <v>364303</v>
      </c>
      <c r="AJ44" s="1">
        <v>359917</v>
      </c>
      <c r="AK44" s="1">
        <v>370321</v>
      </c>
      <c r="AL44" s="1">
        <v>332705</v>
      </c>
      <c r="AM44" s="1">
        <v>269054</v>
      </c>
      <c r="AN44" s="1">
        <v>207765</v>
      </c>
      <c r="AO44" s="1">
        <v>137030</v>
      </c>
      <c r="AP44" s="1">
        <v>84408</v>
      </c>
      <c r="AQ44" s="1">
        <v>78125</v>
      </c>
      <c r="AR44" s="1">
        <v>2762611</v>
      </c>
      <c r="AS44" s="1">
        <v>2912969</v>
      </c>
      <c r="AT44" s="1">
        <v>2438404</v>
      </c>
      <c r="AU44" s="1">
        <v>1437409</v>
      </c>
      <c r="AV44" s="1">
        <v>27010</v>
      </c>
      <c r="AW44" s="1">
        <v>240213</v>
      </c>
      <c r="AX44" s="1">
        <v>8507</v>
      </c>
      <c r="AY44" s="1">
        <v>10857</v>
      </c>
      <c r="AZ44" s="1">
        <v>127850</v>
      </c>
      <c r="BA44" s="1">
        <v>1385686</v>
      </c>
      <c r="BB44" s="1">
        <v>4513299</v>
      </c>
      <c r="BC44" s="1">
        <v>1582270</v>
      </c>
      <c r="BD44" s="1">
        <v>1883086</v>
      </c>
      <c r="BE44" s="1">
        <v>244156</v>
      </c>
      <c r="BF44" s="1">
        <v>244623</v>
      </c>
      <c r="BG44" s="1">
        <v>559164</v>
      </c>
      <c r="BH44" s="1">
        <v>3779297</v>
      </c>
      <c r="BI44" s="1">
        <v>225629</v>
      </c>
      <c r="BJ44" s="1">
        <v>308956</v>
      </c>
      <c r="BK44" s="1">
        <v>1162881</v>
      </c>
      <c r="BL44" s="1">
        <v>896452</v>
      </c>
      <c r="BM44" s="1">
        <v>344131</v>
      </c>
      <c r="BN44" s="1">
        <v>573429</v>
      </c>
      <c r="BO44" s="1">
        <v>267819</v>
      </c>
      <c r="BP44" s="1">
        <v>4438692</v>
      </c>
      <c r="BQ44" s="1">
        <v>15454</v>
      </c>
      <c r="BR44" s="1">
        <v>2800954</v>
      </c>
      <c r="BS44" s="1">
        <v>114378</v>
      </c>
      <c r="BT44" s="1">
        <v>1507906</v>
      </c>
      <c r="BU44" s="1">
        <v>1456360</v>
      </c>
      <c r="BV44" s="1">
        <v>591158</v>
      </c>
      <c r="BW44" s="1">
        <v>445366</v>
      </c>
      <c r="BX44" s="1">
        <v>73220</v>
      </c>
      <c r="BY44" s="1">
        <v>233653</v>
      </c>
      <c r="BZ44" s="1">
        <v>526654</v>
      </c>
      <c r="CA44" s="1">
        <v>53055</v>
      </c>
      <c r="CB44" s="1">
        <v>123967</v>
      </c>
      <c r="CC44" s="2">
        <v>2.76</v>
      </c>
      <c r="CD44" s="1">
        <v>469861</v>
      </c>
      <c r="CE44" s="1">
        <v>639941</v>
      </c>
      <c r="CF44" s="1">
        <v>356684</v>
      </c>
      <c r="CG44" s="1">
        <v>288992</v>
      </c>
      <c r="CH44" s="1">
        <v>159590</v>
      </c>
      <c r="CI44" s="1">
        <v>72547</v>
      </c>
      <c r="CJ44" s="1">
        <v>59904</v>
      </c>
      <c r="CK44" s="2">
        <v>49.66</v>
      </c>
      <c r="CL44" s="1">
        <v>85136</v>
      </c>
      <c r="CM44" s="1">
        <v>346895</v>
      </c>
      <c r="CN44" s="1">
        <v>373837</v>
      </c>
      <c r="CO44" s="1">
        <v>384961</v>
      </c>
      <c r="CP44" s="1">
        <v>390709</v>
      </c>
      <c r="CQ44" s="1">
        <v>280339</v>
      </c>
      <c r="CR44" s="1">
        <v>137645</v>
      </c>
      <c r="CS44" s="1">
        <v>47995</v>
      </c>
      <c r="CT44" s="1">
        <v>88006</v>
      </c>
      <c r="CU44" s="1">
        <v>649676</v>
      </c>
      <c r="CV44" s="1">
        <v>1309835</v>
      </c>
      <c r="CW44" s="1">
        <v>25403</v>
      </c>
      <c r="CX44" s="1">
        <v>59425</v>
      </c>
      <c r="CY44" s="1">
        <v>67938</v>
      </c>
      <c r="CZ44" s="1">
        <v>98717</v>
      </c>
      <c r="DA44" s="1">
        <v>64999</v>
      </c>
      <c r="DB44" s="1">
        <v>82616</v>
      </c>
      <c r="DC44" s="1">
        <v>97959</v>
      </c>
      <c r="DD44" s="1">
        <v>92506</v>
      </c>
      <c r="DE44" s="1">
        <v>95573</v>
      </c>
      <c r="DF44" s="1">
        <v>99924</v>
      </c>
      <c r="DG44" s="1">
        <v>106050</v>
      </c>
      <c r="DH44" s="1">
        <v>100381</v>
      </c>
      <c r="DI44" s="1">
        <v>196294</v>
      </c>
      <c r="DJ44" s="1">
        <v>260291</v>
      </c>
      <c r="DK44" s="1">
        <v>331842</v>
      </c>
      <c r="DL44" s="1">
        <v>163985</v>
      </c>
      <c r="DM44" s="1">
        <v>112953</v>
      </c>
      <c r="DN44" s="1">
        <v>93263</v>
      </c>
      <c r="DO44" s="1">
        <v>50163</v>
      </c>
      <c r="DP44" s="1">
        <v>43241</v>
      </c>
      <c r="DQ44" s="1">
        <v>59801</v>
      </c>
      <c r="DR44" s="1">
        <v>66401</v>
      </c>
      <c r="DS44" s="1">
        <v>69436</v>
      </c>
      <c r="DT44" s="1">
        <v>64037</v>
      </c>
      <c r="DU44" s="1">
        <v>53017</v>
      </c>
      <c r="DV44" s="1">
        <v>41152</v>
      </c>
      <c r="DW44" s="2">
        <v>55041.120000000003</v>
      </c>
      <c r="DX44" s="2">
        <v>26155.57</v>
      </c>
      <c r="DY44" s="2">
        <v>1717.79</v>
      </c>
      <c r="DZ44" s="2">
        <v>373.99</v>
      </c>
      <c r="EA44" s="2">
        <v>1921.79</v>
      </c>
      <c r="EB44" s="2">
        <v>1504.09</v>
      </c>
      <c r="EC44" s="2">
        <v>3073.8</v>
      </c>
      <c r="ED44" s="2">
        <v>8201.3700000000008</v>
      </c>
      <c r="EE44" s="2">
        <v>4755.9399999999996</v>
      </c>
      <c r="EF44" s="2">
        <v>1914.04</v>
      </c>
      <c r="EG44" s="2">
        <v>11561.19</v>
      </c>
      <c r="EH44" s="2">
        <v>2131.42</v>
      </c>
      <c r="EI44" s="2">
        <v>1034.44</v>
      </c>
      <c r="EJ44" s="2">
        <v>737.84</v>
      </c>
      <c r="EK44" s="2">
        <v>118.62</v>
      </c>
      <c r="EL44" s="2">
        <v>358.25</v>
      </c>
      <c r="EM44" s="2">
        <v>10155.870000000001</v>
      </c>
      <c r="EN44" s="2">
        <v>4209.38</v>
      </c>
      <c r="EO44" s="2">
        <v>1271.3</v>
      </c>
      <c r="EP44" s="1">
        <v>24067</v>
      </c>
      <c r="EQ44" s="1">
        <v>2976</v>
      </c>
      <c r="ER44" s="1">
        <v>554</v>
      </c>
      <c r="ES44" s="1">
        <v>3875</v>
      </c>
      <c r="ET44" s="1">
        <v>23247</v>
      </c>
      <c r="EU44" s="1">
        <v>41418</v>
      </c>
      <c r="EV44" s="1">
        <v>75578</v>
      </c>
      <c r="EW44" s="1">
        <v>4867</v>
      </c>
      <c r="EX44" s="1">
        <v>15919</v>
      </c>
      <c r="EY44" s="1">
        <v>2700</v>
      </c>
      <c r="EZ44" s="1">
        <v>195893</v>
      </c>
      <c r="FA44" s="1">
        <v>20276</v>
      </c>
      <c r="FB44" s="1">
        <v>122801</v>
      </c>
      <c r="FC44" s="1">
        <v>28920</v>
      </c>
      <c r="FD44" s="1">
        <v>18824</v>
      </c>
      <c r="FE44" s="1">
        <v>77255</v>
      </c>
      <c r="FF44" s="1">
        <v>3684</v>
      </c>
      <c r="FG44" s="1">
        <v>291463</v>
      </c>
      <c r="FH44" s="1">
        <v>44326</v>
      </c>
      <c r="FI44" s="1">
        <v>15396</v>
      </c>
      <c r="FJ44" s="1">
        <v>617</v>
      </c>
      <c r="FK44" s="1">
        <v>2319</v>
      </c>
      <c r="FL44" s="1">
        <v>5037</v>
      </c>
      <c r="FM44" s="1">
        <v>983</v>
      </c>
      <c r="FN44" s="1">
        <v>74986</v>
      </c>
      <c r="FO44" s="1">
        <v>412663</v>
      </c>
      <c r="FP44" s="1">
        <v>117</v>
      </c>
      <c r="FQ44" s="1">
        <v>120</v>
      </c>
      <c r="FR44" s="1">
        <v>112</v>
      </c>
      <c r="FS44" s="1">
        <v>164</v>
      </c>
      <c r="FT44" s="1">
        <v>89</v>
      </c>
      <c r="FU44" s="1">
        <v>126</v>
      </c>
      <c r="FV44" s="1">
        <v>117</v>
      </c>
      <c r="FW44" s="1">
        <v>138</v>
      </c>
      <c r="FX44" s="1">
        <v>113</v>
      </c>
      <c r="FY44" s="1">
        <v>100</v>
      </c>
      <c r="FZ44" s="3">
        <v>-0.157</v>
      </c>
      <c r="GA44" s="3">
        <v>0.45500000000000002</v>
      </c>
      <c r="GB44" s="3">
        <v>-0.28299999999999997</v>
      </c>
      <c r="GC44" s="3">
        <v>0.26</v>
      </c>
      <c r="GD44" s="3">
        <v>0.20399999999999999</v>
      </c>
      <c r="GE44" s="3">
        <v>-0.82799999999999996</v>
      </c>
      <c r="GF44" s="3">
        <v>0.161</v>
      </c>
      <c r="GG44" s="3">
        <v>-1.0999999999999999E-2</v>
      </c>
      <c r="GH44" s="3">
        <v>0.38400000000000001</v>
      </c>
      <c r="GI44" s="3">
        <v>-8.5000000000000006E-2</v>
      </c>
      <c r="GJ44" s="3">
        <v>-1.347</v>
      </c>
      <c r="GK44" s="3">
        <v>-0.19400000000000001</v>
      </c>
      <c r="GL44" s="3">
        <v>-0.441</v>
      </c>
      <c r="GM44" s="3">
        <v>-0.12</v>
      </c>
      <c r="GN44" s="3">
        <v>-8.4000000000000005E-2</v>
      </c>
      <c r="GO44" s="3">
        <v>5.0000000000000001E-3</v>
      </c>
      <c r="GP44" s="3">
        <v>-0.46600000000000003</v>
      </c>
      <c r="GQ44" s="3">
        <v>0.11700000000000001</v>
      </c>
      <c r="GR44" s="3">
        <v>-0.19800000000000001</v>
      </c>
      <c r="GS44" s="3">
        <v>0.151</v>
      </c>
      <c r="GT44" s="3">
        <v>-0.08</v>
      </c>
      <c r="GU44" s="3">
        <v>-0.214</v>
      </c>
      <c r="GV44" s="3">
        <v>-0.3</v>
      </c>
      <c r="GW44" s="3">
        <v>9.5000000000000001E-2</v>
      </c>
      <c r="GX44" s="3">
        <v>-7.0999999999999994E-2</v>
      </c>
      <c r="GY44" s="3">
        <v>-7.6999999999999999E-2</v>
      </c>
      <c r="GZ44" s="4">
        <v>100</v>
      </c>
      <c r="HA44" s="4">
        <v>106</v>
      </c>
      <c r="HB44" s="4">
        <v>103</v>
      </c>
      <c r="HC44" s="4">
        <v>81</v>
      </c>
      <c r="HD44" s="4">
        <v>110</v>
      </c>
      <c r="HE44" s="4">
        <v>89</v>
      </c>
      <c r="HF44" s="1">
        <v>11779</v>
      </c>
      <c r="HG44" s="1">
        <v>11040</v>
      </c>
      <c r="HH44" s="1">
        <v>8767</v>
      </c>
      <c r="HI44" s="1">
        <v>7148</v>
      </c>
      <c r="HJ44" s="1">
        <v>6552</v>
      </c>
      <c r="HK44" s="1">
        <v>7604</v>
      </c>
      <c r="HL44" s="1">
        <v>4933</v>
      </c>
      <c r="HM44" s="1">
        <v>16060</v>
      </c>
      <c r="HN44" s="1">
        <v>23660</v>
      </c>
      <c r="HO44" s="1">
        <v>33633</v>
      </c>
      <c r="HP44" s="1">
        <v>50801</v>
      </c>
      <c r="HQ44" s="1">
        <v>80037</v>
      </c>
      <c r="HR44" s="1">
        <v>92421</v>
      </c>
      <c r="HS44" s="1">
        <v>245048</v>
      </c>
      <c r="HT44" s="1">
        <v>200383</v>
      </c>
      <c r="HU44" s="1">
        <v>187661</v>
      </c>
      <c r="HV44" s="1">
        <v>106436</v>
      </c>
      <c r="HW44" s="1">
        <v>119805</v>
      </c>
      <c r="HX44" s="1">
        <v>64559</v>
      </c>
      <c r="HY44" s="1">
        <v>58403</v>
      </c>
      <c r="HZ44" s="1">
        <v>21285</v>
      </c>
      <c r="IA44" s="1">
        <v>17605</v>
      </c>
      <c r="IB44" s="1">
        <v>5474</v>
      </c>
      <c r="IC44" s="1">
        <v>6886</v>
      </c>
      <c r="ID44" s="1">
        <v>136790</v>
      </c>
      <c r="IE44" s="1">
        <v>4829</v>
      </c>
      <c r="IF44" s="1">
        <v>4409</v>
      </c>
      <c r="IG44" s="1">
        <v>4504</v>
      </c>
      <c r="IH44" s="1">
        <v>5484</v>
      </c>
      <c r="II44" s="1">
        <v>5103</v>
      </c>
      <c r="IJ44" s="1">
        <v>7817</v>
      </c>
      <c r="IK44" s="1">
        <v>10269</v>
      </c>
      <c r="IL44" s="1">
        <v>16117</v>
      </c>
      <c r="IM44" s="1">
        <v>19076</v>
      </c>
      <c r="IN44" s="1">
        <v>28115</v>
      </c>
      <c r="IO44" s="1">
        <v>27465</v>
      </c>
      <c r="IP44" s="1">
        <v>34434</v>
      </c>
      <c r="IQ44" s="1">
        <v>32993</v>
      </c>
      <c r="IR44" s="1">
        <v>34191</v>
      </c>
      <c r="IS44" s="1">
        <v>30303</v>
      </c>
      <c r="IT44" s="1">
        <v>60786</v>
      </c>
      <c r="IU44" s="1">
        <v>44574</v>
      </c>
      <c r="IV44" s="1">
        <v>62249</v>
      </c>
      <c r="IW44">
        <v>18237</v>
      </c>
      <c r="IX44">
        <v>9275</v>
      </c>
      <c r="IY44">
        <v>3387</v>
      </c>
      <c r="IZ44">
        <v>25669</v>
      </c>
      <c r="JA44">
        <v>764</v>
      </c>
      <c r="JB44">
        <v>1371029</v>
      </c>
      <c r="JC44">
        <v>55886</v>
      </c>
      <c r="JD44">
        <v>4036</v>
      </c>
      <c r="JE44">
        <v>7509</v>
      </c>
      <c r="JF44">
        <v>7251</v>
      </c>
      <c r="JG44">
        <v>4714</v>
      </c>
      <c r="JH44">
        <v>3505</v>
      </c>
      <c r="JI44">
        <v>3220</v>
      </c>
      <c r="JJ44">
        <v>29359</v>
      </c>
      <c r="JK44">
        <v>628</v>
      </c>
      <c r="JL44">
        <v>278588</v>
      </c>
      <c r="JM44">
        <v>31557</v>
      </c>
      <c r="JN44">
        <v>23040</v>
      </c>
      <c r="JO44">
        <v>31761</v>
      </c>
      <c r="JP44">
        <v>35282</v>
      </c>
      <c r="JQ44">
        <v>33388</v>
      </c>
      <c r="JR44">
        <v>17854</v>
      </c>
      <c r="JS44">
        <v>18818</v>
      </c>
      <c r="JT44">
        <v>11813</v>
      </c>
      <c r="JU44">
        <v>188</v>
      </c>
      <c r="JV44">
        <v>95325</v>
      </c>
      <c r="JW44">
        <v>106200</v>
      </c>
      <c r="JX44">
        <v>201061</v>
      </c>
      <c r="JY44">
        <v>359726</v>
      </c>
      <c r="JZ44">
        <v>587426</v>
      </c>
      <c r="KA44">
        <v>359787</v>
      </c>
      <c r="KB44">
        <v>160672</v>
      </c>
      <c r="KC44">
        <v>43428</v>
      </c>
      <c r="KD44">
        <v>55801</v>
      </c>
      <c r="KE44">
        <v>11815</v>
      </c>
      <c r="KF44">
        <v>12919</v>
      </c>
      <c r="KG44">
        <v>185949</v>
      </c>
      <c r="KH44">
        <v>237540</v>
      </c>
      <c r="KI44">
        <v>74681</v>
      </c>
      <c r="KJ44">
        <v>336129</v>
      </c>
      <c r="KK44">
        <v>139248</v>
      </c>
      <c r="KL44">
        <v>20728</v>
      </c>
      <c r="KM44">
        <v>57399</v>
      </c>
      <c r="KN44">
        <v>121415</v>
      </c>
      <c r="KO44">
        <v>47875</v>
      </c>
      <c r="KP44">
        <v>123117</v>
      </c>
      <c r="KQ44">
        <v>1868</v>
      </c>
      <c r="KR44">
        <v>134217</v>
      </c>
      <c r="KS44">
        <v>212758</v>
      </c>
      <c r="KT44">
        <v>332180</v>
      </c>
      <c r="KU44">
        <v>52440</v>
      </c>
      <c r="KV44">
        <v>208050</v>
      </c>
      <c r="KW44">
        <v>141606</v>
      </c>
      <c r="KX44">
        <v>134778</v>
      </c>
      <c r="KY44">
        <v>1835522</v>
      </c>
      <c r="KZ44">
        <v>63386</v>
      </c>
      <c r="LA44">
        <v>163475</v>
      </c>
      <c r="LB44">
        <v>199358</v>
      </c>
      <c r="LC44">
        <v>101239</v>
      </c>
      <c r="LD44">
        <v>82509</v>
      </c>
      <c r="LE44">
        <v>138764</v>
      </c>
      <c r="LF44">
        <v>2459</v>
      </c>
      <c r="LG44">
        <v>1504785</v>
      </c>
      <c r="LH44">
        <v>63984</v>
      </c>
      <c r="LI44">
        <v>254797</v>
      </c>
      <c r="LJ44">
        <v>10647</v>
      </c>
      <c r="LK44">
        <v>61531</v>
      </c>
      <c r="LL44">
        <v>15728</v>
      </c>
      <c r="LM44">
        <v>39738</v>
      </c>
      <c r="LN44">
        <v>2762</v>
      </c>
      <c r="LO44">
        <v>15454</v>
      </c>
      <c r="LP44">
        <v>2334.2209499999999</v>
      </c>
      <c r="LQ44">
        <v>2489.71461</v>
      </c>
    </row>
    <row r="45" spans="1:329" x14ac:dyDescent="0.25">
      <c r="A45" s="5" t="s">
        <v>367</v>
      </c>
      <c r="B45" s="5" t="s">
        <v>300</v>
      </c>
      <c r="C45" s="1">
        <v>4686912</v>
      </c>
      <c r="D45" s="1">
        <v>5188109</v>
      </c>
      <c r="E45" s="1">
        <v>5446053</v>
      </c>
      <c r="F45" s="1">
        <v>5798104</v>
      </c>
      <c r="G45" s="1">
        <v>6102621</v>
      </c>
      <c r="H45" s="1">
        <v>1811504</v>
      </c>
      <c r="I45" s="1">
        <v>2010270</v>
      </c>
      <c r="J45" s="1">
        <v>2108565</v>
      </c>
      <c r="K45" s="1">
        <v>2307032</v>
      </c>
      <c r="L45" s="1">
        <v>2406561</v>
      </c>
      <c r="M45" s="1">
        <v>2410880</v>
      </c>
      <c r="N45" s="1">
        <v>1234524</v>
      </c>
      <c r="O45" s="1">
        <v>1072508</v>
      </c>
      <c r="P45" s="1">
        <v>103848</v>
      </c>
      <c r="Q45" s="1">
        <v>204579</v>
      </c>
      <c r="R45" s="1">
        <v>24089</v>
      </c>
      <c r="S45" s="1">
        <v>339</v>
      </c>
      <c r="T45" s="1">
        <v>4590002</v>
      </c>
      <c r="U45" s="1">
        <v>1130822</v>
      </c>
      <c r="V45" s="1">
        <v>77280</v>
      </c>
      <c r="W45" s="1">
        <v>4980</v>
      </c>
      <c r="X45" s="1">
        <v>1913</v>
      </c>
      <c r="Y45" s="2">
        <v>35.6</v>
      </c>
      <c r="Z45" s="1">
        <v>383113</v>
      </c>
      <c r="AA45" s="1">
        <v>364730</v>
      </c>
      <c r="AB45" s="1">
        <v>365859</v>
      </c>
      <c r="AC45" s="1">
        <v>355532</v>
      </c>
      <c r="AD45" s="1">
        <v>404189</v>
      </c>
      <c r="AE45" s="1">
        <v>472937</v>
      </c>
      <c r="AF45" s="1">
        <v>428269</v>
      </c>
      <c r="AG45" s="1">
        <v>389164</v>
      </c>
      <c r="AH45" s="1">
        <v>339715</v>
      </c>
      <c r="AI45" s="1">
        <v>348864</v>
      </c>
      <c r="AJ45" s="1">
        <v>347558</v>
      </c>
      <c r="AK45" s="1">
        <v>364460</v>
      </c>
      <c r="AL45" s="1">
        <v>335283</v>
      </c>
      <c r="AM45" s="1">
        <v>282602</v>
      </c>
      <c r="AN45" s="1">
        <v>229587</v>
      </c>
      <c r="AO45" s="1">
        <v>161556</v>
      </c>
      <c r="AP45" s="1">
        <v>108385</v>
      </c>
      <c r="AQ45" s="1">
        <v>116300</v>
      </c>
      <c r="AR45" s="1">
        <v>2852190</v>
      </c>
      <c r="AS45" s="1">
        <v>2945914</v>
      </c>
      <c r="AT45" s="1">
        <v>3469503</v>
      </c>
      <c r="AU45" s="1">
        <v>468018</v>
      </c>
      <c r="AV45" s="1">
        <v>52765</v>
      </c>
      <c r="AW45" s="1">
        <v>291629</v>
      </c>
      <c r="AX45" s="1">
        <v>19350</v>
      </c>
      <c r="AY45" s="1">
        <v>8150</v>
      </c>
      <c r="AZ45" s="1">
        <v>188352</v>
      </c>
      <c r="BA45" s="1">
        <v>1300711</v>
      </c>
      <c r="BB45" s="1">
        <v>4684400</v>
      </c>
      <c r="BC45" s="1">
        <v>1638116</v>
      </c>
      <c r="BD45" s="1">
        <v>1912527</v>
      </c>
      <c r="BE45" s="1">
        <v>229884</v>
      </c>
      <c r="BF45" s="1">
        <v>264490</v>
      </c>
      <c r="BG45" s="1">
        <v>639383</v>
      </c>
      <c r="BH45" s="1">
        <v>3924682</v>
      </c>
      <c r="BI45" s="1">
        <v>200025</v>
      </c>
      <c r="BJ45" s="1">
        <v>285717</v>
      </c>
      <c r="BK45" s="1">
        <v>1100214</v>
      </c>
      <c r="BL45" s="1">
        <v>971346</v>
      </c>
      <c r="BM45" s="1">
        <v>363792</v>
      </c>
      <c r="BN45" s="1">
        <v>660765</v>
      </c>
      <c r="BO45" s="1">
        <v>342823</v>
      </c>
      <c r="BP45" s="1">
        <v>4617958</v>
      </c>
      <c r="BQ45" s="1">
        <v>23794</v>
      </c>
      <c r="BR45" s="1">
        <v>2854430</v>
      </c>
      <c r="BS45" s="1">
        <v>117794</v>
      </c>
      <c r="BT45" s="1">
        <v>1621940</v>
      </c>
      <c r="BU45" s="1">
        <v>1426024</v>
      </c>
      <c r="BV45" s="1">
        <v>881008</v>
      </c>
      <c r="BW45" s="1">
        <v>409467</v>
      </c>
      <c r="BX45" s="1">
        <v>80997</v>
      </c>
      <c r="BY45" s="1">
        <v>224831</v>
      </c>
      <c r="BZ45" s="1">
        <v>540319</v>
      </c>
      <c r="CA45" s="1">
        <v>55233</v>
      </c>
      <c r="CB45" s="1">
        <v>114638</v>
      </c>
      <c r="CC45" s="2">
        <v>2.48</v>
      </c>
      <c r="CD45" s="1">
        <v>692174</v>
      </c>
      <c r="CE45" s="1">
        <v>741381</v>
      </c>
      <c r="CF45" s="1">
        <v>357362</v>
      </c>
      <c r="CG45" s="1">
        <v>273021</v>
      </c>
      <c r="CH45" s="1">
        <v>137550</v>
      </c>
      <c r="CI45" s="1">
        <v>59688</v>
      </c>
      <c r="CJ45" s="1">
        <v>45857</v>
      </c>
      <c r="CK45" s="2">
        <v>50.53</v>
      </c>
      <c r="CL45" s="1">
        <v>103927</v>
      </c>
      <c r="CM45" s="1">
        <v>400491</v>
      </c>
      <c r="CN45" s="1">
        <v>388900</v>
      </c>
      <c r="CO45" s="1">
        <v>398284</v>
      </c>
      <c r="CP45" s="1">
        <v>423984</v>
      </c>
      <c r="CQ45" s="1">
        <v>329418</v>
      </c>
      <c r="CR45" s="1">
        <v>183482</v>
      </c>
      <c r="CS45" s="1">
        <v>78547</v>
      </c>
      <c r="CT45" s="1">
        <v>174030</v>
      </c>
      <c r="CU45" s="1">
        <v>826848</v>
      </c>
      <c r="CV45" s="1">
        <v>1306153</v>
      </c>
      <c r="CW45" s="1">
        <v>28347</v>
      </c>
      <c r="CX45" s="1">
        <v>57288</v>
      </c>
      <c r="CY45" s="1">
        <v>70210</v>
      </c>
      <c r="CZ45" s="1">
        <v>134642</v>
      </c>
      <c r="DA45" s="1">
        <v>105606</v>
      </c>
      <c r="DB45" s="1">
        <v>109874</v>
      </c>
      <c r="DC45" s="1">
        <v>119840</v>
      </c>
      <c r="DD45" s="1">
        <v>105199</v>
      </c>
      <c r="DE45" s="1">
        <v>106662</v>
      </c>
      <c r="DF45" s="1">
        <v>110000</v>
      </c>
      <c r="DG45" s="1">
        <v>111622</v>
      </c>
      <c r="DH45" s="1">
        <v>104227</v>
      </c>
      <c r="DI45" s="1">
        <v>200080</v>
      </c>
      <c r="DJ45" s="1">
        <v>262170</v>
      </c>
      <c r="DK45" s="1">
        <v>330732</v>
      </c>
      <c r="DL45" s="1">
        <v>173923</v>
      </c>
      <c r="DM45" s="1">
        <v>132009</v>
      </c>
      <c r="DN45" s="1">
        <v>121140</v>
      </c>
      <c r="DO45" s="1">
        <v>79305</v>
      </c>
      <c r="DP45" s="1">
        <v>40203</v>
      </c>
      <c r="DQ45" s="1">
        <v>58521</v>
      </c>
      <c r="DR45" s="1">
        <v>66819</v>
      </c>
      <c r="DS45" s="1">
        <v>68643</v>
      </c>
      <c r="DT45" s="1">
        <v>63436</v>
      </c>
      <c r="DU45" s="1">
        <v>50785</v>
      </c>
      <c r="DV45" s="1">
        <v>38785</v>
      </c>
      <c r="DW45" s="2">
        <v>55303.86</v>
      </c>
      <c r="DX45" s="2">
        <v>26136.27</v>
      </c>
      <c r="DY45" s="2">
        <v>1737.47</v>
      </c>
      <c r="DZ45" s="2">
        <v>372.62</v>
      </c>
      <c r="EA45" s="2">
        <v>1934.5</v>
      </c>
      <c r="EB45" s="2">
        <v>1555.19</v>
      </c>
      <c r="EC45" s="2">
        <v>3075.77</v>
      </c>
      <c r="ED45" s="2">
        <v>8224.33</v>
      </c>
      <c r="EE45" s="2">
        <v>4736.71</v>
      </c>
      <c r="EF45" s="2">
        <v>1914.57</v>
      </c>
      <c r="EG45" s="2">
        <v>11746.32</v>
      </c>
      <c r="EH45" s="2">
        <v>2142.33</v>
      </c>
      <c r="EI45" s="2">
        <v>1039.93</v>
      </c>
      <c r="EJ45" s="2">
        <v>741.9</v>
      </c>
      <c r="EK45" s="2">
        <v>119.64</v>
      </c>
      <c r="EL45" s="2">
        <v>361.08</v>
      </c>
      <c r="EM45" s="2">
        <v>10100.09</v>
      </c>
      <c r="EN45" s="2">
        <v>4197.32</v>
      </c>
      <c r="EO45" s="2">
        <v>1304.0899999999999</v>
      </c>
      <c r="EP45" s="1">
        <v>29721</v>
      </c>
      <c r="EQ45" s="1">
        <v>4447</v>
      </c>
      <c r="ER45" s="1">
        <v>543</v>
      </c>
      <c r="ES45" s="1">
        <v>6614</v>
      </c>
      <c r="ET45" s="1">
        <v>30845</v>
      </c>
      <c r="EU45" s="1">
        <v>48001</v>
      </c>
      <c r="EV45" s="1">
        <v>87893</v>
      </c>
      <c r="EW45" s="1">
        <v>4808</v>
      </c>
      <c r="EX45" s="1">
        <v>20750</v>
      </c>
      <c r="EY45" s="1">
        <v>4063</v>
      </c>
      <c r="EZ45" s="1">
        <v>237721</v>
      </c>
      <c r="FA45" s="1">
        <v>20509</v>
      </c>
      <c r="FB45" s="1">
        <v>162332</v>
      </c>
      <c r="FC45" s="1">
        <v>42667</v>
      </c>
      <c r="FD45" s="1">
        <v>24954</v>
      </c>
      <c r="FE45" s="1">
        <v>110145</v>
      </c>
      <c r="FF45" s="1">
        <v>4149</v>
      </c>
      <c r="FG45" s="1">
        <v>393145</v>
      </c>
      <c r="FH45" s="1">
        <v>68031</v>
      </c>
      <c r="FI45" s="1">
        <v>14726</v>
      </c>
      <c r="FJ45" s="1">
        <v>558</v>
      </c>
      <c r="FK45" s="1">
        <v>2604</v>
      </c>
      <c r="FL45" s="1">
        <v>8536</v>
      </c>
      <c r="FM45" s="1">
        <v>1083</v>
      </c>
      <c r="FN45" s="1">
        <v>96883</v>
      </c>
      <c r="FO45" s="1">
        <v>535200</v>
      </c>
      <c r="FP45" s="1">
        <v>133</v>
      </c>
      <c r="FQ45" s="1">
        <v>117</v>
      </c>
      <c r="FR45" s="1">
        <v>96</v>
      </c>
      <c r="FS45" s="1">
        <v>128</v>
      </c>
      <c r="FT45" s="1">
        <v>101</v>
      </c>
      <c r="FU45" s="1">
        <v>123</v>
      </c>
      <c r="FV45" s="1">
        <v>136</v>
      </c>
      <c r="FW45" s="1">
        <v>131</v>
      </c>
      <c r="FX45" s="1">
        <v>136</v>
      </c>
      <c r="FY45" s="1">
        <v>146</v>
      </c>
      <c r="FZ45" s="3">
        <v>-0.311</v>
      </c>
      <c r="GA45" s="3">
        <v>-0.25800000000000001</v>
      </c>
      <c r="GB45" s="3">
        <v>-0.41499999999999998</v>
      </c>
      <c r="GC45" s="3">
        <v>5.7000000000000002E-2</v>
      </c>
      <c r="GD45" s="3">
        <v>0.85699999999999998</v>
      </c>
      <c r="GE45" s="3">
        <v>0.185</v>
      </c>
      <c r="GF45" s="3">
        <v>0.13700000000000001</v>
      </c>
      <c r="GG45" s="3">
        <v>0.17299999999999999</v>
      </c>
      <c r="GH45" s="3">
        <v>0.245</v>
      </c>
      <c r="GI45" s="3">
        <v>-0.36599999999999999</v>
      </c>
      <c r="GJ45" s="3">
        <v>-0.123</v>
      </c>
      <c r="GK45" s="3">
        <v>-0.17499999999999999</v>
      </c>
      <c r="GL45" s="3">
        <v>-0.31</v>
      </c>
      <c r="GM45" s="3">
        <v>0.29399999999999998</v>
      </c>
      <c r="GN45" s="3">
        <v>-0.40300000000000002</v>
      </c>
      <c r="GO45" s="3">
        <v>-0.13300000000000001</v>
      </c>
      <c r="GP45" s="3">
        <v>-8.2000000000000003E-2</v>
      </c>
      <c r="GQ45" s="3">
        <v>0.157</v>
      </c>
      <c r="GR45" s="3">
        <v>1E-3</v>
      </c>
      <c r="GS45" s="3">
        <v>-0.22900000000000001</v>
      </c>
      <c r="GT45" s="3">
        <v>-1.4999999999999999E-2</v>
      </c>
      <c r="GU45" s="3">
        <v>-8.1000000000000003E-2</v>
      </c>
      <c r="GV45" s="3">
        <v>-8.9999999999999993E-3</v>
      </c>
      <c r="GW45" s="3">
        <v>0.25700000000000001</v>
      </c>
      <c r="GX45" s="3">
        <v>-2.9000000000000001E-2</v>
      </c>
      <c r="GY45" s="3">
        <v>4.9000000000000002E-2</v>
      </c>
      <c r="GZ45" s="4">
        <v>97</v>
      </c>
      <c r="HA45" s="4">
        <v>88</v>
      </c>
      <c r="HB45" s="4">
        <v>105</v>
      </c>
      <c r="HC45" s="4">
        <v>91</v>
      </c>
      <c r="HD45" s="4">
        <v>109</v>
      </c>
      <c r="HE45" s="4">
        <v>120</v>
      </c>
      <c r="HF45" s="1">
        <v>10930</v>
      </c>
      <c r="HG45" s="1">
        <v>7406</v>
      </c>
      <c r="HH45" s="1">
        <v>6844</v>
      </c>
      <c r="HI45" s="1">
        <v>6665</v>
      </c>
      <c r="HJ45" s="1">
        <v>5195</v>
      </c>
      <c r="HK45" s="1">
        <v>4617</v>
      </c>
      <c r="HL45" s="1">
        <v>3363</v>
      </c>
      <c r="HM45" s="1">
        <v>7822</v>
      </c>
      <c r="HN45" s="1">
        <v>9870</v>
      </c>
      <c r="HO45" s="1">
        <v>11638</v>
      </c>
      <c r="HP45" s="1">
        <v>14896</v>
      </c>
      <c r="HQ45" s="1">
        <v>19469</v>
      </c>
      <c r="HR45" s="1">
        <v>20472</v>
      </c>
      <c r="HS45" s="1">
        <v>63977</v>
      </c>
      <c r="HT45" s="1">
        <v>68789</v>
      </c>
      <c r="HU45" s="1">
        <v>109624</v>
      </c>
      <c r="HV45" s="1">
        <v>102607</v>
      </c>
      <c r="HW45" s="1">
        <v>230701</v>
      </c>
      <c r="HX45" s="1">
        <v>158161</v>
      </c>
      <c r="HY45" s="1">
        <v>146482</v>
      </c>
      <c r="HZ45" s="1">
        <v>54170</v>
      </c>
      <c r="IA45" s="1">
        <v>48573</v>
      </c>
      <c r="IB45" s="1">
        <v>15665</v>
      </c>
      <c r="IC45" s="1">
        <v>14066</v>
      </c>
      <c r="ID45" s="1">
        <v>220982</v>
      </c>
      <c r="IE45" s="1">
        <v>8242</v>
      </c>
      <c r="IF45" s="1">
        <v>8361</v>
      </c>
      <c r="IG45" s="1">
        <v>12283</v>
      </c>
      <c r="IH45" s="1">
        <v>15265</v>
      </c>
      <c r="II45" s="1">
        <v>10645</v>
      </c>
      <c r="IJ45" s="1">
        <v>14886</v>
      </c>
      <c r="IK45" s="1">
        <v>17170</v>
      </c>
      <c r="IL45" s="1">
        <v>26351</v>
      </c>
      <c r="IM45" s="1">
        <v>31929</v>
      </c>
      <c r="IN45" s="1">
        <v>49096</v>
      </c>
      <c r="IO45" s="1">
        <v>55727</v>
      </c>
      <c r="IP45" s="1">
        <v>68599</v>
      </c>
      <c r="IQ45" s="1">
        <v>76586</v>
      </c>
      <c r="IR45" s="1">
        <v>72263</v>
      </c>
      <c r="IS45" s="1">
        <v>70434</v>
      </c>
      <c r="IT45" s="1">
        <v>121801</v>
      </c>
      <c r="IU45" s="1">
        <v>80815</v>
      </c>
      <c r="IV45" s="1">
        <v>106827</v>
      </c>
      <c r="IW45">
        <v>50947</v>
      </c>
      <c r="IX45">
        <v>33501</v>
      </c>
      <c r="IY45">
        <v>13770</v>
      </c>
      <c r="IZ45">
        <v>39551</v>
      </c>
      <c r="JA45">
        <v>749</v>
      </c>
      <c r="JB45">
        <v>1187230</v>
      </c>
      <c r="JC45">
        <v>66598</v>
      </c>
      <c r="JD45">
        <v>15074</v>
      </c>
      <c r="JE45">
        <v>11307</v>
      </c>
      <c r="JF45">
        <v>9226</v>
      </c>
      <c r="JG45">
        <v>8067</v>
      </c>
      <c r="JH45">
        <v>5126</v>
      </c>
      <c r="JI45">
        <v>4425</v>
      </c>
      <c r="JJ45">
        <v>53532</v>
      </c>
      <c r="JK45">
        <v>2134</v>
      </c>
      <c r="JL45">
        <v>341922</v>
      </c>
      <c r="JM45">
        <v>81612</v>
      </c>
      <c r="JN45">
        <v>96283</v>
      </c>
      <c r="JO45">
        <v>150843</v>
      </c>
      <c r="JP45">
        <v>154935</v>
      </c>
      <c r="JQ45">
        <v>130569</v>
      </c>
      <c r="JR45">
        <v>88682</v>
      </c>
      <c r="JS45">
        <v>94655</v>
      </c>
      <c r="JT45">
        <v>26378</v>
      </c>
      <c r="JU45">
        <v>1219</v>
      </c>
      <c r="JV45">
        <v>128580</v>
      </c>
      <c r="JW45">
        <v>140207</v>
      </c>
      <c r="JX45">
        <v>294078</v>
      </c>
      <c r="JY45">
        <v>375474</v>
      </c>
      <c r="JZ45">
        <v>517375</v>
      </c>
      <c r="KA45">
        <v>349596</v>
      </c>
      <c r="KB45">
        <v>334074</v>
      </c>
      <c r="KC45">
        <v>140542</v>
      </c>
      <c r="KD45">
        <v>249891</v>
      </c>
      <c r="KE45">
        <v>38702</v>
      </c>
      <c r="KF45">
        <v>10200</v>
      </c>
      <c r="KG45">
        <v>195722</v>
      </c>
      <c r="KH45">
        <v>254627</v>
      </c>
      <c r="KI45">
        <v>82315</v>
      </c>
      <c r="KJ45">
        <v>380193</v>
      </c>
      <c r="KK45">
        <v>116499</v>
      </c>
      <c r="KL45">
        <v>24843</v>
      </c>
      <c r="KM45">
        <v>54704</v>
      </c>
      <c r="KN45">
        <v>108149</v>
      </c>
      <c r="KO45">
        <v>58438</v>
      </c>
      <c r="KP45">
        <v>153661</v>
      </c>
      <c r="KQ45">
        <v>1827</v>
      </c>
      <c r="KR45">
        <v>136651</v>
      </c>
      <c r="KS45">
        <v>236753</v>
      </c>
      <c r="KT45">
        <v>401277</v>
      </c>
      <c r="KU45">
        <v>78304</v>
      </c>
      <c r="KV45">
        <v>235259</v>
      </c>
      <c r="KW45">
        <v>155882</v>
      </c>
      <c r="KX45">
        <v>181774</v>
      </c>
      <c r="KY45">
        <v>1928470</v>
      </c>
      <c r="KZ45">
        <v>84192</v>
      </c>
      <c r="LA45">
        <v>226129</v>
      </c>
      <c r="LB45">
        <v>238859</v>
      </c>
      <c r="LC45">
        <v>155106</v>
      </c>
      <c r="LD45">
        <v>90349</v>
      </c>
      <c r="LE45">
        <v>179692</v>
      </c>
      <c r="LF45">
        <v>2983</v>
      </c>
      <c r="LG45">
        <v>2022703</v>
      </c>
      <c r="LH45">
        <v>63417</v>
      </c>
      <c r="LI45">
        <v>239141</v>
      </c>
      <c r="LJ45">
        <v>18681</v>
      </c>
      <c r="LK45">
        <v>85656</v>
      </c>
      <c r="LL45">
        <v>21179</v>
      </c>
      <c r="LM45">
        <v>57728</v>
      </c>
      <c r="LN45">
        <v>3527</v>
      </c>
      <c r="LO45">
        <v>17785</v>
      </c>
      <c r="LP45">
        <v>17920.988280000001</v>
      </c>
      <c r="LQ45">
        <v>381.36424</v>
      </c>
    </row>
    <row r="46" spans="1:329" x14ac:dyDescent="0.25">
      <c r="A46" s="5" t="s">
        <v>368</v>
      </c>
      <c r="B46" s="5" t="s">
        <v>301</v>
      </c>
      <c r="C46" s="1">
        <v>5696127</v>
      </c>
      <c r="D46" s="1">
        <v>6044591</v>
      </c>
      <c r="E46" s="1">
        <v>6216797</v>
      </c>
      <c r="F46" s="1">
        <v>6472887</v>
      </c>
      <c r="G46" s="1">
        <v>6698951</v>
      </c>
      <c r="H46" s="1">
        <v>2318065</v>
      </c>
      <c r="I46" s="1">
        <v>2538137</v>
      </c>
      <c r="J46" s="1">
        <v>2627685</v>
      </c>
      <c r="K46" s="1">
        <v>2842412</v>
      </c>
      <c r="L46" s="1">
        <v>2938666</v>
      </c>
      <c r="M46" s="1">
        <v>2976805</v>
      </c>
      <c r="N46" s="1">
        <v>1445833</v>
      </c>
      <c r="O46" s="1">
        <v>1396579</v>
      </c>
      <c r="P46" s="1">
        <v>134393</v>
      </c>
      <c r="Q46" s="1">
        <v>259849</v>
      </c>
      <c r="R46" s="1">
        <v>19474</v>
      </c>
      <c r="S46" s="1">
        <v>169</v>
      </c>
      <c r="T46" s="1">
        <v>4884515</v>
      </c>
      <c r="U46" s="1">
        <v>1518932</v>
      </c>
      <c r="V46" s="1">
        <v>69440</v>
      </c>
      <c r="W46" s="1">
        <v>13380</v>
      </c>
      <c r="X46" s="1">
        <v>446</v>
      </c>
      <c r="Y46" s="2">
        <v>34.909999999999997</v>
      </c>
      <c r="Z46" s="1">
        <v>434514</v>
      </c>
      <c r="AA46" s="1">
        <v>397981</v>
      </c>
      <c r="AB46" s="1">
        <v>389702</v>
      </c>
      <c r="AC46" s="1">
        <v>382181</v>
      </c>
      <c r="AD46" s="1">
        <v>480983</v>
      </c>
      <c r="AE46" s="1">
        <v>575181</v>
      </c>
      <c r="AF46" s="1">
        <v>496890</v>
      </c>
      <c r="AG46" s="1">
        <v>435871</v>
      </c>
      <c r="AH46" s="1">
        <v>369899</v>
      </c>
      <c r="AI46" s="1">
        <v>378170</v>
      </c>
      <c r="AJ46" s="1">
        <v>381736</v>
      </c>
      <c r="AK46" s="1">
        <v>406218</v>
      </c>
      <c r="AL46" s="1">
        <v>375412</v>
      </c>
      <c r="AM46" s="1">
        <v>310343</v>
      </c>
      <c r="AN46" s="1">
        <v>246644</v>
      </c>
      <c r="AO46" s="1">
        <v>173178</v>
      </c>
      <c r="AP46" s="1">
        <v>116404</v>
      </c>
      <c r="AQ46" s="1">
        <v>121579</v>
      </c>
      <c r="AR46" s="1">
        <v>3143973</v>
      </c>
      <c r="AS46" s="1">
        <v>3328914</v>
      </c>
      <c r="AT46" s="1">
        <v>4424230</v>
      </c>
      <c r="AU46" s="1">
        <v>814969</v>
      </c>
      <c r="AV46" s="1">
        <v>38075</v>
      </c>
      <c r="AW46" s="1">
        <v>232662</v>
      </c>
      <c r="AX46" s="1">
        <v>6196</v>
      </c>
      <c r="AY46" s="1">
        <v>7042</v>
      </c>
      <c r="AZ46" s="1">
        <v>176236</v>
      </c>
      <c r="BA46" s="1">
        <v>773997</v>
      </c>
      <c r="BB46" s="1">
        <v>5250691</v>
      </c>
      <c r="BC46" s="1">
        <v>1902868</v>
      </c>
      <c r="BD46" s="1">
        <v>2040990</v>
      </c>
      <c r="BE46" s="1">
        <v>236842</v>
      </c>
      <c r="BF46" s="1">
        <v>305270</v>
      </c>
      <c r="BG46" s="1">
        <v>764721</v>
      </c>
      <c r="BH46" s="1">
        <v>4387527</v>
      </c>
      <c r="BI46" s="1">
        <v>158241</v>
      </c>
      <c r="BJ46" s="1">
        <v>300503</v>
      </c>
      <c r="BK46" s="1">
        <v>1354217</v>
      </c>
      <c r="BL46" s="1">
        <v>1010851</v>
      </c>
      <c r="BM46" s="1">
        <v>426984</v>
      </c>
      <c r="BN46" s="1">
        <v>752677</v>
      </c>
      <c r="BO46" s="1">
        <v>384054</v>
      </c>
      <c r="BP46" s="1">
        <v>5182399</v>
      </c>
      <c r="BQ46" s="1">
        <v>16099</v>
      </c>
      <c r="BR46" s="1">
        <v>3356428</v>
      </c>
      <c r="BS46" s="1">
        <v>120324</v>
      </c>
      <c r="BT46" s="1">
        <v>1689548</v>
      </c>
      <c r="BU46" s="1">
        <v>1604723</v>
      </c>
      <c r="BV46" s="1">
        <v>1237689</v>
      </c>
      <c r="BW46" s="1">
        <v>425946</v>
      </c>
      <c r="BX46" s="1">
        <v>88854</v>
      </c>
      <c r="BY46" s="1">
        <v>288222</v>
      </c>
      <c r="BZ46" s="1">
        <v>605900</v>
      </c>
      <c r="CA46" s="1">
        <v>60377</v>
      </c>
      <c r="CB46" s="1">
        <v>134891</v>
      </c>
      <c r="CC46" s="2">
        <v>2.25</v>
      </c>
      <c r="CD46" s="1">
        <v>1012882</v>
      </c>
      <c r="CE46" s="1">
        <v>915906</v>
      </c>
      <c r="CF46" s="1">
        <v>411412</v>
      </c>
      <c r="CG46" s="1">
        <v>290995</v>
      </c>
      <c r="CH46" s="1">
        <v>130494</v>
      </c>
      <c r="CI46" s="1">
        <v>49722</v>
      </c>
      <c r="CJ46" s="1">
        <v>31000</v>
      </c>
      <c r="CK46" s="2">
        <v>49.57</v>
      </c>
      <c r="CL46" s="1">
        <v>148182</v>
      </c>
      <c r="CM46" s="1">
        <v>540780</v>
      </c>
      <c r="CN46" s="1">
        <v>470085</v>
      </c>
      <c r="CO46" s="1">
        <v>470850</v>
      </c>
      <c r="CP46" s="1">
        <v>513896</v>
      </c>
      <c r="CQ46" s="1">
        <v>388835</v>
      </c>
      <c r="CR46" s="1">
        <v>216038</v>
      </c>
      <c r="CS46" s="1">
        <v>93745</v>
      </c>
      <c r="CT46" s="1">
        <v>230507</v>
      </c>
      <c r="CU46" s="1">
        <v>1159439</v>
      </c>
      <c r="CV46" s="1">
        <v>1452466</v>
      </c>
      <c r="CW46" s="1">
        <v>27602</v>
      </c>
      <c r="CX46" s="1">
        <v>51864</v>
      </c>
      <c r="CY46" s="1">
        <v>65771</v>
      </c>
      <c r="CZ46" s="1">
        <v>174818</v>
      </c>
      <c r="DA46" s="1">
        <v>136414</v>
      </c>
      <c r="DB46" s="1">
        <v>148110</v>
      </c>
      <c r="DC46" s="1">
        <v>165146</v>
      </c>
      <c r="DD46" s="1">
        <v>148988</v>
      </c>
      <c r="DE46" s="1">
        <v>150855</v>
      </c>
      <c r="DF46" s="1">
        <v>151840</v>
      </c>
      <c r="DG46" s="1">
        <v>154392</v>
      </c>
      <c r="DH46" s="1">
        <v>141665</v>
      </c>
      <c r="DI46" s="1">
        <v>262544</v>
      </c>
      <c r="DJ46" s="1">
        <v>326974</v>
      </c>
      <c r="DK46" s="1">
        <v>392299</v>
      </c>
      <c r="DL46" s="1">
        <v>189401</v>
      </c>
      <c r="DM46" s="1">
        <v>131866</v>
      </c>
      <c r="DN46" s="1">
        <v>105794</v>
      </c>
      <c r="DO46" s="1">
        <v>61304</v>
      </c>
      <c r="DP46" s="1">
        <v>37522</v>
      </c>
      <c r="DQ46" s="1">
        <v>53770</v>
      </c>
      <c r="DR46" s="1">
        <v>59684</v>
      </c>
      <c r="DS46" s="1">
        <v>61461</v>
      </c>
      <c r="DT46" s="1">
        <v>57079</v>
      </c>
      <c r="DU46" s="1">
        <v>46167</v>
      </c>
      <c r="DV46" s="1">
        <v>35898</v>
      </c>
      <c r="DW46" s="2">
        <v>50783.64</v>
      </c>
      <c r="DX46" s="2">
        <v>23988.46</v>
      </c>
      <c r="DY46" s="2">
        <v>1573.99</v>
      </c>
      <c r="DZ46" s="2">
        <v>333.73</v>
      </c>
      <c r="EA46" s="2">
        <v>1763.88</v>
      </c>
      <c r="EB46" s="2">
        <v>1380.39</v>
      </c>
      <c r="EC46" s="2">
        <v>2797.52</v>
      </c>
      <c r="ED46" s="2">
        <v>7574.7</v>
      </c>
      <c r="EE46" s="2">
        <v>4388.17</v>
      </c>
      <c r="EF46" s="2">
        <v>1743.67</v>
      </c>
      <c r="EG46" s="2">
        <v>10822.92</v>
      </c>
      <c r="EH46" s="2">
        <v>1958.37</v>
      </c>
      <c r="EI46" s="2">
        <v>955.09</v>
      </c>
      <c r="EJ46" s="2">
        <v>681.14</v>
      </c>
      <c r="EK46" s="2">
        <v>109.88</v>
      </c>
      <c r="EL46" s="2">
        <v>344.71</v>
      </c>
      <c r="EM46" s="2">
        <v>9262.0400000000009</v>
      </c>
      <c r="EN46" s="2">
        <v>3912.95</v>
      </c>
      <c r="EO46" s="2">
        <v>1180.49</v>
      </c>
      <c r="EP46" s="1">
        <v>24386</v>
      </c>
      <c r="EQ46" s="1">
        <v>3496</v>
      </c>
      <c r="ER46" s="1">
        <v>651</v>
      </c>
      <c r="ES46" s="1">
        <v>4095</v>
      </c>
      <c r="ET46" s="1">
        <v>19718</v>
      </c>
      <c r="EU46" s="1">
        <v>35084</v>
      </c>
      <c r="EV46" s="1">
        <v>74171</v>
      </c>
      <c r="EW46" s="1">
        <v>5300</v>
      </c>
      <c r="EX46" s="1">
        <v>14271</v>
      </c>
      <c r="EY46" s="1">
        <v>2421</v>
      </c>
      <c r="EZ46" s="1">
        <v>182613</v>
      </c>
      <c r="FA46" s="1">
        <v>17901</v>
      </c>
      <c r="FB46" s="1">
        <v>91933</v>
      </c>
      <c r="FC46" s="1">
        <v>26027</v>
      </c>
      <c r="FD46" s="1">
        <v>16495</v>
      </c>
      <c r="FE46" s="1">
        <v>70052</v>
      </c>
      <c r="FF46" s="1">
        <v>2896</v>
      </c>
      <c r="FG46" s="1">
        <v>265798</v>
      </c>
      <c r="FH46" s="1">
        <v>38474</v>
      </c>
      <c r="FI46" s="1">
        <v>13704</v>
      </c>
      <c r="FJ46" s="1">
        <v>440</v>
      </c>
      <c r="FK46" s="1">
        <v>2197</v>
      </c>
      <c r="FL46" s="1">
        <v>4450</v>
      </c>
      <c r="FM46" s="1">
        <v>863</v>
      </c>
      <c r="FN46" s="1">
        <v>67438</v>
      </c>
      <c r="FO46" s="1">
        <v>381434</v>
      </c>
      <c r="FP46" s="1">
        <v>133</v>
      </c>
      <c r="FQ46" s="1">
        <v>114</v>
      </c>
      <c r="FR46" s="1">
        <v>99</v>
      </c>
      <c r="FS46" s="1">
        <v>146</v>
      </c>
      <c r="FT46" s="1">
        <v>94</v>
      </c>
      <c r="FU46" s="1">
        <v>118</v>
      </c>
      <c r="FV46" s="1">
        <v>135</v>
      </c>
      <c r="FW46" s="1">
        <v>122</v>
      </c>
      <c r="FX46" s="1">
        <v>143</v>
      </c>
      <c r="FY46" s="1">
        <v>104</v>
      </c>
      <c r="FZ46" s="3">
        <v>-0.188</v>
      </c>
      <c r="GA46" s="3">
        <v>-0.47199999999999998</v>
      </c>
      <c r="GB46" s="3">
        <v>-0.45500000000000002</v>
      </c>
      <c r="GC46" s="3">
        <v>-0.318</v>
      </c>
      <c r="GD46" s="3">
        <v>8.5999999999999993E-2</v>
      </c>
      <c r="GE46" s="3">
        <v>0.24299999999999999</v>
      </c>
      <c r="GF46" s="3">
        <v>2.5000000000000001E-2</v>
      </c>
      <c r="GG46" s="3">
        <v>-0.114</v>
      </c>
      <c r="GH46" s="3">
        <v>0.128</v>
      </c>
      <c r="GI46" s="3">
        <v>-0.34200000000000003</v>
      </c>
      <c r="GJ46" s="3">
        <v>-1.0489999999999999</v>
      </c>
      <c r="GK46" s="3">
        <v>-0.161</v>
      </c>
      <c r="GL46" s="3">
        <v>-0.28299999999999997</v>
      </c>
      <c r="GM46" s="3">
        <v>-0.18099999999999999</v>
      </c>
      <c r="GN46" s="3">
        <v>-0.15</v>
      </c>
      <c r="GO46" s="3">
        <v>-0.14299999999999999</v>
      </c>
      <c r="GP46" s="3">
        <v>-0.32300000000000001</v>
      </c>
      <c r="GQ46" s="3">
        <v>0.14000000000000001</v>
      </c>
      <c r="GR46" s="3">
        <v>0.104</v>
      </c>
      <c r="GS46" s="3">
        <v>-0.46300000000000002</v>
      </c>
      <c r="GT46" s="3">
        <v>-0.109</v>
      </c>
      <c r="GU46" s="3">
        <v>-0.22700000000000001</v>
      </c>
      <c r="GV46" s="3">
        <v>-1.7999999999999999E-2</v>
      </c>
      <c r="GW46" s="3">
        <v>-1.9E-2</v>
      </c>
      <c r="GX46" s="3">
        <v>1E-3</v>
      </c>
      <c r="GY46" s="3">
        <v>1.2E-2</v>
      </c>
      <c r="GZ46" s="4">
        <v>98</v>
      </c>
      <c r="HA46" s="4">
        <v>96</v>
      </c>
      <c r="HB46" s="4">
        <v>99</v>
      </c>
      <c r="HC46" s="4">
        <v>100</v>
      </c>
      <c r="HD46" s="4">
        <v>108</v>
      </c>
      <c r="HE46" s="4">
        <v>91</v>
      </c>
      <c r="HF46" s="1">
        <v>12770</v>
      </c>
      <c r="HG46" s="1">
        <v>10947</v>
      </c>
      <c r="HH46" s="1">
        <v>9384</v>
      </c>
      <c r="HI46" s="1">
        <v>6955</v>
      </c>
      <c r="HJ46" s="1">
        <v>6074</v>
      </c>
      <c r="HK46" s="1">
        <v>7227</v>
      </c>
      <c r="HL46" s="1">
        <v>5794</v>
      </c>
      <c r="HM46" s="1">
        <v>15909</v>
      </c>
      <c r="HN46" s="1">
        <v>21688</v>
      </c>
      <c r="HO46" s="1">
        <v>30503</v>
      </c>
      <c r="HP46" s="1">
        <v>41495</v>
      </c>
      <c r="HQ46" s="1">
        <v>57740</v>
      </c>
      <c r="HR46" s="1">
        <v>67338</v>
      </c>
      <c r="HS46" s="1">
        <v>219861</v>
      </c>
      <c r="HT46" s="1">
        <v>213850</v>
      </c>
      <c r="HU46" s="1">
        <v>217986</v>
      </c>
      <c r="HV46" s="1">
        <v>126977</v>
      </c>
      <c r="HW46" s="1">
        <v>119586</v>
      </c>
      <c r="HX46" s="1">
        <v>61229</v>
      </c>
      <c r="HY46" s="1">
        <v>53158</v>
      </c>
      <c r="HZ46" s="1">
        <v>20419</v>
      </c>
      <c r="IA46" s="1">
        <v>17449</v>
      </c>
      <c r="IB46" s="1">
        <v>5406</v>
      </c>
      <c r="IC46" s="1">
        <v>5837</v>
      </c>
      <c r="ID46" s="1">
        <v>144184</v>
      </c>
      <c r="IE46" s="1">
        <v>13424</v>
      </c>
      <c r="IF46" s="1">
        <v>13373</v>
      </c>
      <c r="IG46" s="1">
        <v>17574</v>
      </c>
      <c r="IH46" s="1">
        <v>19663</v>
      </c>
      <c r="II46" s="1">
        <v>18615</v>
      </c>
      <c r="IJ46" s="1">
        <v>29692</v>
      </c>
      <c r="IK46" s="1">
        <v>43530</v>
      </c>
      <c r="IL46" s="1">
        <v>69563</v>
      </c>
      <c r="IM46" s="1">
        <v>90258</v>
      </c>
      <c r="IN46" s="1">
        <v>115906</v>
      </c>
      <c r="IO46" s="1">
        <v>117632</v>
      </c>
      <c r="IP46" s="1">
        <v>119516</v>
      </c>
      <c r="IQ46" s="1">
        <v>114883</v>
      </c>
      <c r="IR46" s="1">
        <v>89520</v>
      </c>
      <c r="IS46" s="1">
        <v>76212</v>
      </c>
      <c r="IT46" s="1">
        <v>112225</v>
      </c>
      <c r="IU46" s="1">
        <v>60991</v>
      </c>
      <c r="IV46" s="1">
        <v>63593</v>
      </c>
      <c r="IW46">
        <v>20078</v>
      </c>
      <c r="IX46">
        <v>13520</v>
      </c>
      <c r="IY46">
        <v>7955</v>
      </c>
      <c r="IZ46">
        <v>46318</v>
      </c>
      <c r="JA46">
        <v>627</v>
      </c>
      <c r="JB46">
        <v>1115694</v>
      </c>
      <c r="JC46">
        <v>187263</v>
      </c>
      <c r="JD46">
        <v>28357</v>
      </c>
      <c r="JE46">
        <v>22318</v>
      </c>
      <c r="JF46">
        <v>25082</v>
      </c>
      <c r="JG46">
        <v>19527</v>
      </c>
      <c r="JH46">
        <v>11376</v>
      </c>
      <c r="JI46">
        <v>6298</v>
      </c>
      <c r="JJ46">
        <v>33360</v>
      </c>
      <c r="JK46">
        <v>776</v>
      </c>
      <c r="JL46">
        <v>221488</v>
      </c>
      <c r="JM46">
        <v>124948</v>
      </c>
      <c r="JN46">
        <v>146332</v>
      </c>
      <c r="JO46">
        <v>202019</v>
      </c>
      <c r="JP46">
        <v>257370</v>
      </c>
      <c r="JQ46">
        <v>222730</v>
      </c>
      <c r="JR46">
        <v>127167</v>
      </c>
      <c r="JS46">
        <v>98251</v>
      </c>
      <c r="JT46">
        <v>22439</v>
      </c>
      <c r="JU46">
        <v>845</v>
      </c>
      <c r="JV46">
        <v>119965</v>
      </c>
      <c r="JW46">
        <v>146608</v>
      </c>
      <c r="JX46">
        <v>315386</v>
      </c>
      <c r="JY46">
        <v>406366</v>
      </c>
      <c r="JZ46">
        <v>580268</v>
      </c>
      <c r="KA46">
        <v>393718</v>
      </c>
      <c r="KB46">
        <v>362503</v>
      </c>
      <c r="KC46">
        <v>160131</v>
      </c>
      <c r="KD46">
        <v>388695</v>
      </c>
      <c r="KE46">
        <v>20894</v>
      </c>
      <c r="KF46">
        <v>9208</v>
      </c>
      <c r="KG46">
        <v>185685</v>
      </c>
      <c r="KH46">
        <v>385921</v>
      </c>
      <c r="KI46">
        <v>94535</v>
      </c>
      <c r="KJ46">
        <v>434322</v>
      </c>
      <c r="KK46">
        <v>137079</v>
      </c>
      <c r="KL46">
        <v>23299</v>
      </c>
      <c r="KM46">
        <v>65439</v>
      </c>
      <c r="KN46">
        <v>162349</v>
      </c>
      <c r="KO46">
        <v>55047</v>
      </c>
      <c r="KP46">
        <v>155690</v>
      </c>
      <c r="KQ46">
        <v>2432</v>
      </c>
      <c r="KR46">
        <v>151599</v>
      </c>
      <c r="KS46">
        <v>259819</v>
      </c>
      <c r="KT46">
        <v>478014</v>
      </c>
      <c r="KU46">
        <v>62000</v>
      </c>
      <c r="KV46">
        <v>275867</v>
      </c>
      <c r="KW46">
        <v>164490</v>
      </c>
      <c r="KX46">
        <v>143971</v>
      </c>
      <c r="KY46">
        <v>2348368</v>
      </c>
      <c r="KZ46">
        <v>69344</v>
      </c>
      <c r="LA46">
        <v>285538</v>
      </c>
      <c r="LB46">
        <v>205782</v>
      </c>
      <c r="LC46">
        <v>126998</v>
      </c>
      <c r="LD46">
        <v>78632</v>
      </c>
      <c r="LE46">
        <v>150360</v>
      </c>
      <c r="LF46">
        <v>2638</v>
      </c>
      <c r="LG46">
        <v>2490720</v>
      </c>
      <c r="LH46">
        <v>43371</v>
      </c>
      <c r="LI46">
        <v>151671</v>
      </c>
      <c r="LJ46">
        <v>21199</v>
      </c>
      <c r="LK46">
        <v>86655</v>
      </c>
      <c r="LL46">
        <v>14993</v>
      </c>
      <c r="LM46">
        <v>36905</v>
      </c>
      <c r="LN46">
        <v>6357</v>
      </c>
      <c r="LO46">
        <v>21769</v>
      </c>
      <c r="LP46">
        <v>3599.4020999999998</v>
      </c>
      <c r="LQ46">
        <v>1949.4307100000001</v>
      </c>
    </row>
    <row r="47" spans="1:329" x14ac:dyDescent="0.25">
      <c r="A47" s="5" t="s">
        <v>369</v>
      </c>
      <c r="B47" s="5" t="s">
        <v>302</v>
      </c>
      <c r="C47" s="1">
        <v>3281428</v>
      </c>
      <c r="D47" s="1">
        <v>3625831</v>
      </c>
      <c r="E47" s="1">
        <v>3864552</v>
      </c>
      <c r="F47" s="1">
        <v>3993919</v>
      </c>
      <c r="G47" s="1">
        <v>4113903</v>
      </c>
      <c r="H47" s="1">
        <v>1288718</v>
      </c>
      <c r="I47" s="1">
        <v>1485434</v>
      </c>
      <c r="J47" s="1">
        <v>1637935</v>
      </c>
      <c r="K47" s="1">
        <v>1775535</v>
      </c>
      <c r="L47" s="1">
        <v>1822779</v>
      </c>
      <c r="M47" s="1">
        <v>1876235</v>
      </c>
      <c r="N47" s="1">
        <v>929971</v>
      </c>
      <c r="O47" s="1">
        <v>845565</v>
      </c>
      <c r="P47" s="1">
        <v>100699</v>
      </c>
      <c r="Q47" s="1">
        <v>169051</v>
      </c>
      <c r="R47" s="1">
        <v>18771</v>
      </c>
      <c r="S47" s="1">
        <v>161</v>
      </c>
      <c r="T47" s="1">
        <v>2742029</v>
      </c>
      <c r="U47" s="1">
        <v>966522</v>
      </c>
      <c r="V47" s="1">
        <v>285368</v>
      </c>
      <c r="W47" s="1">
        <v>17042</v>
      </c>
      <c r="X47" s="1">
        <v>0</v>
      </c>
      <c r="Y47" s="2">
        <v>42.16</v>
      </c>
      <c r="Z47" s="1">
        <v>226372</v>
      </c>
      <c r="AA47" s="1">
        <v>211944</v>
      </c>
      <c r="AB47" s="1">
        <v>211599</v>
      </c>
      <c r="AC47" s="1">
        <v>219124</v>
      </c>
      <c r="AD47" s="1">
        <v>262820</v>
      </c>
      <c r="AE47" s="1">
        <v>280348</v>
      </c>
      <c r="AF47" s="1">
        <v>239793</v>
      </c>
      <c r="AG47" s="1">
        <v>220142</v>
      </c>
      <c r="AH47" s="1">
        <v>197240</v>
      </c>
      <c r="AI47" s="1">
        <v>210646</v>
      </c>
      <c r="AJ47" s="1">
        <v>221704</v>
      </c>
      <c r="AK47" s="1">
        <v>250047</v>
      </c>
      <c r="AL47" s="1">
        <v>247202</v>
      </c>
      <c r="AM47" s="1">
        <v>226376</v>
      </c>
      <c r="AN47" s="1">
        <v>204422</v>
      </c>
      <c r="AO47" s="1">
        <v>174851</v>
      </c>
      <c r="AP47" s="1">
        <v>154307</v>
      </c>
      <c r="AQ47" s="1">
        <v>234982</v>
      </c>
      <c r="AR47" s="1">
        <v>1846886</v>
      </c>
      <c r="AS47" s="1">
        <v>2147033</v>
      </c>
      <c r="AT47" s="1">
        <v>2979839</v>
      </c>
      <c r="AU47" s="1">
        <v>431889</v>
      </c>
      <c r="AV47" s="1">
        <v>23312</v>
      </c>
      <c r="AW47" s="1">
        <v>102781</v>
      </c>
      <c r="AX47" s="1">
        <v>2977</v>
      </c>
      <c r="AY47" s="1">
        <v>2992</v>
      </c>
      <c r="AZ47" s="1">
        <v>88167</v>
      </c>
      <c r="BA47" s="1">
        <v>362320</v>
      </c>
      <c r="BB47" s="1">
        <v>3344004</v>
      </c>
      <c r="BC47" s="1">
        <v>1009861</v>
      </c>
      <c r="BD47" s="1">
        <v>1286558</v>
      </c>
      <c r="BE47" s="1">
        <v>179904</v>
      </c>
      <c r="BF47" s="1">
        <v>378241</v>
      </c>
      <c r="BG47" s="1">
        <v>489440</v>
      </c>
      <c r="BH47" s="1">
        <v>2862060</v>
      </c>
      <c r="BI47" s="1">
        <v>128379</v>
      </c>
      <c r="BJ47" s="1">
        <v>214021</v>
      </c>
      <c r="BK47" s="1">
        <v>911035</v>
      </c>
      <c r="BL47" s="1">
        <v>624661</v>
      </c>
      <c r="BM47" s="1">
        <v>252164</v>
      </c>
      <c r="BN47" s="1">
        <v>464678</v>
      </c>
      <c r="BO47" s="1">
        <v>267122</v>
      </c>
      <c r="BP47" s="1">
        <v>3306327</v>
      </c>
      <c r="BQ47" s="1">
        <v>7293</v>
      </c>
      <c r="BR47" s="1">
        <v>1779700</v>
      </c>
      <c r="BS47" s="1">
        <v>59985</v>
      </c>
      <c r="BT47" s="1">
        <v>1459349</v>
      </c>
      <c r="BU47" s="1">
        <v>935355</v>
      </c>
      <c r="BV47" s="1">
        <v>840180</v>
      </c>
      <c r="BW47" s="1">
        <v>242961</v>
      </c>
      <c r="BX47" s="1">
        <v>41577</v>
      </c>
      <c r="BY47" s="1">
        <v>143759</v>
      </c>
      <c r="BZ47" s="1">
        <v>406464</v>
      </c>
      <c r="CA47" s="1">
        <v>28443</v>
      </c>
      <c r="CB47" s="1">
        <v>71722</v>
      </c>
      <c r="CC47" s="2">
        <v>2.09</v>
      </c>
      <c r="CD47" s="1">
        <v>738395</v>
      </c>
      <c r="CE47" s="1">
        <v>557058</v>
      </c>
      <c r="CF47" s="1">
        <v>216617</v>
      </c>
      <c r="CG47" s="1">
        <v>155715</v>
      </c>
      <c r="CH47" s="1">
        <v>68584</v>
      </c>
      <c r="CI47" s="1">
        <v>24840</v>
      </c>
      <c r="CJ47" s="1">
        <v>14327</v>
      </c>
      <c r="CK47" s="2">
        <v>55.22</v>
      </c>
      <c r="CL47" s="1">
        <v>81291</v>
      </c>
      <c r="CM47" s="1">
        <v>263649</v>
      </c>
      <c r="CN47" s="1">
        <v>241934</v>
      </c>
      <c r="CO47" s="1">
        <v>262194</v>
      </c>
      <c r="CP47" s="1">
        <v>317833</v>
      </c>
      <c r="CQ47" s="1">
        <v>284974</v>
      </c>
      <c r="CR47" s="1">
        <v>205890</v>
      </c>
      <c r="CS47" s="1">
        <v>117770</v>
      </c>
      <c r="CT47" s="1">
        <v>183601</v>
      </c>
      <c r="CU47" s="1">
        <v>710536</v>
      </c>
      <c r="CV47" s="1">
        <v>881397</v>
      </c>
      <c r="CW47" s="1">
        <v>27843</v>
      </c>
      <c r="CX47" s="1">
        <v>47906</v>
      </c>
      <c r="CY47" s="1">
        <v>66977</v>
      </c>
      <c r="CZ47" s="1">
        <v>130281</v>
      </c>
      <c r="DA47" s="1">
        <v>111441</v>
      </c>
      <c r="DB47" s="1">
        <v>110506</v>
      </c>
      <c r="DC47" s="1">
        <v>115056</v>
      </c>
      <c r="DD47" s="1">
        <v>99448</v>
      </c>
      <c r="DE47" s="1">
        <v>93524</v>
      </c>
      <c r="DF47" s="1">
        <v>89803</v>
      </c>
      <c r="DG47" s="1">
        <v>90647</v>
      </c>
      <c r="DH47" s="1">
        <v>80954</v>
      </c>
      <c r="DI47" s="1">
        <v>148744</v>
      </c>
      <c r="DJ47" s="1">
        <v>181932</v>
      </c>
      <c r="DK47" s="1">
        <v>222309</v>
      </c>
      <c r="DL47" s="1">
        <v>110365</v>
      </c>
      <c r="DM47" s="1">
        <v>78212</v>
      </c>
      <c r="DN47" s="1">
        <v>66127</v>
      </c>
      <c r="DO47" s="1">
        <v>46187</v>
      </c>
      <c r="DP47" s="1">
        <v>33611</v>
      </c>
      <c r="DQ47" s="1">
        <v>51603</v>
      </c>
      <c r="DR47" s="1">
        <v>58407</v>
      </c>
      <c r="DS47" s="1">
        <v>61507</v>
      </c>
      <c r="DT47" s="1">
        <v>55871</v>
      </c>
      <c r="DU47" s="1">
        <v>44785</v>
      </c>
      <c r="DV47" s="1">
        <v>32599</v>
      </c>
      <c r="DW47" s="2">
        <v>50105.95</v>
      </c>
      <c r="DX47" s="2">
        <v>23593.68</v>
      </c>
      <c r="DY47" s="2">
        <v>1576.86</v>
      </c>
      <c r="DZ47" s="2">
        <v>330.9</v>
      </c>
      <c r="EA47" s="2">
        <v>1731.59</v>
      </c>
      <c r="EB47" s="2">
        <v>1373.77</v>
      </c>
      <c r="EC47" s="2">
        <v>2758.31</v>
      </c>
      <c r="ED47" s="2">
        <v>7453.67</v>
      </c>
      <c r="EE47" s="2">
        <v>4356.42</v>
      </c>
      <c r="EF47" s="2">
        <v>1717.47</v>
      </c>
      <c r="EG47" s="2">
        <v>10697.88</v>
      </c>
      <c r="EH47" s="2">
        <v>1942.79</v>
      </c>
      <c r="EI47" s="2">
        <v>945.7</v>
      </c>
      <c r="EJ47" s="2">
        <v>672.36</v>
      </c>
      <c r="EK47" s="2">
        <v>109.62</v>
      </c>
      <c r="EL47" s="2">
        <v>339.78</v>
      </c>
      <c r="EM47" s="2">
        <v>9060.8700000000008</v>
      </c>
      <c r="EN47" s="2">
        <v>3862.41</v>
      </c>
      <c r="EO47" s="2">
        <v>1175.55</v>
      </c>
      <c r="EP47" s="1">
        <v>23190</v>
      </c>
      <c r="EQ47" s="1">
        <v>3197</v>
      </c>
      <c r="ER47" s="1">
        <v>561</v>
      </c>
      <c r="ES47" s="1">
        <v>4077</v>
      </c>
      <c r="ET47" s="1">
        <v>20353</v>
      </c>
      <c r="EU47" s="1">
        <v>36708</v>
      </c>
      <c r="EV47" s="1">
        <v>70631</v>
      </c>
      <c r="EW47" s="1">
        <v>5167</v>
      </c>
      <c r="EX47" s="1">
        <v>14170</v>
      </c>
      <c r="EY47" s="1">
        <v>2500</v>
      </c>
      <c r="EZ47" s="1">
        <v>180072</v>
      </c>
      <c r="FA47" s="1">
        <v>17677</v>
      </c>
      <c r="FB47" s="1">
        <v>95219</v>
      </c>
      <c r="FC47" s="1">
        <v>25258</v>
      </c>
      <c r="FD47" s="1">
        <v>17594</v>
      </c>
      <c r="FE47" s="1">
        <v>74912</v>
      </c>
      <c r="FF47" s="1">
        <v>3091</v>
      </c>
      <c r="FG47" s="1">
        <v>262989</v>
      </c>
      <c r="FH47" s="1">
        <v>37587</v>
      </c>
      <c r="FI47" s="1">
        <v>13596</v>
      </c>
      <c r="FJ47" s="1">
        <v>498</v>
      </c>
      <c r="FK47" s="1">
        <v>2060</v>
      </c>
      <c r="FL47" s="1">
        <v>4230</v>
      </c>
      <c r="FM47" s="1">
        <v>911</v>
      </c>
      <c r="FN47" s="1">
        <v>63580</v>
      </c>
      <c r="FO47" s="1">
        <v>379605</v>
      </c>
      <c r="FP47" s="1">
        <v>137</v>
      </c>
      <c r="FQ47" s="1">
        <v>99</v>
      </c>
      <c r="FR47" s="1">
        <v>78</v>
      </c>
      <c r="FS47" s="1">
        <v>116</v>
      </c>
      <c r="FT47" s="1">
        <v>82</v>
      </c>
      <c r="FU47" s="1">
        <v>103</v>
      </c>
      <c r="FV47" s="1">
        <v>143</v>
      </c>
      <c r="FW47" s="1">
        <v>118</v>
      </c>
      <c r="FX47" s="1">
        <v>157</v>
      </c>
      <c r="FY47" s="1">
        <v>91</v>
      </c>
      <c r="FZ47" s="3">
        <v>-0.35899999999999999</v>
      </c>
      <c r="GA47" s="3">
        <v>-0.79400000000000004</v>
      </c>
      <c r="GB47" s="3">
        <v>0.95499999999999996</v>
      </c>
      <c r="GC47" s="3">
        <v>-9.5000000000000001E-2</v>
      </c>
      <c r="GD47" s="3">
        <v>2.8000000000000001E-2</v>
      </c>
      <c r="GE47" s="3">
        <v>0.29499999999999998</v>
      </c>
      <c r="GF47" s="3">
        <v>0.222</v>
      </c>
      <c r="GG47" s="3">
        <v>0.10199999999999999</v>
      </c>
      <c r="GH47" s="3">
        <v>0.10299999999999999</v>
      </c>
      <c r="GI47" s="3">
        <v>2.1999999999999999E-2</v>
      </c>
      <c r="GJ47" s="3">
        <v>-0.57999999999999996</v>
      </c>
      <c r="GK47" s="3">
        <v>-0.69199999999999995</v>
      </c>
      <c r="GL47" s="3">
        <v>0.59499999999999997</v>
      </c>
      <c r="GM47" s="3">
        <v>-0.19700000000000001</v>
      </c>
      <c r="GN47" s="3">
        <v>-0.86399999999999999</v>
      </c>
      <c r="GO47" s="3">
        <v>-0.376</v>
      </c>
      <c r="GP47" s="3">
        <v>0.24199999999999999</v>
      </c>
      <c r="GQ47" s="3">
        <v>-6.0000000000000001E-3</v>
      </c>
      <c r="GR47" s="3">
        <v>9.6000000000000002E-2</v>
      </c>
      <c r="GS47" s="3">
        <v>-0.50600000000000001</v>
      </c>
      <c r="GT47" s="3">
        <v>-0.128</v>
      </c>
      <c r="GU47" s="3">
        <v>-0.60199999999999998</v>
      </c>
      <c r="GV47" s="3">
        <v>3.9E-2</v>
      </c>
      <c r="GW47" s="3">
        <v>4.5999999999999999E-2</v>
      </c>
      <c r="GX47" s="3">
        <v>0.11700000000000001</v>
      </c>
      <c r="GY47" s="3">
        <v>0.46300000000000002</v>
      </c>
      <c r="GZ47" s="4">
        <v>91</v>
      </c>
      <c r="HA47" s="4">
        <v>91</v>
      </c>
      <c r="HB47" s="4">
        <v>87</v>
      </c>
      <c r="HC47" s="4">
        <v>100</v>
      </c>
      <c r="HD47" s="4">
        <v>85</v>
      </c>
      <c r="HE47" s="4">
        <v>93</v>
      </c>
      <c r="HF47" s="1">
        <v>12200</v>
      </c>
      <c r="HG47" s="1">
        <v>9238</v>
      </c>
      <c r="HH47" s="1">
        <v>7474</v>
      </c>
      <c r="HI47" s="1">
        <v>5744</v>
      </c>
      <c r="HJ47" s="1">
        <v>4858</v>
      </c>
      <c r="HK47" s="1">
        <v>5890</v>
      </c>
      <c r="HL47" s="1">
        <v>4298</v>
      </c>
      <c r="HM47" s="1">
        <v>11972</v>
      </c>
      <c r="HN47" s="1">
        <v>16266</v>
      </c>
      <c r="HO47" s="1">
        <v>23511</v>
      </c>
      <c r="HP47" s="1">
        <v>31930</v>
      </c>
      <c r="HQ47" s="1">
        <v>43864</v>
      </c>
      <c r="HR47" s="1">
        <v>46262</v>
      </c>
      <c r="HS47" s="1">
        <v>132520</v>
      </c>
      <c r="HT47" s="1">
        <v>121455</v>
      </c>
      <c r="HU47" s="1">
        <v>117594</v>
      </c>
      <c r="HV47" s="1">
        <v>68705</v>
      </c>
      <c r="HW47" s="1">
        <v>80276</v>
      </c>
      <c r="HX47" s="1">
        <v>45310</v>
      </c>
      <c r="HY47" s="1">
        <v>40651</v>
      </c>
      <c r="HZ47" s="1">
        <v>15959</v>
      </c>
      <c r="IA47" s="1">
        <v>14211</v>
      </c>
      <c r="IB47" s="1">
        <v>4026</v>
      </c>
      <c r="IC47" s="1">
        <v>4462</v>
      </c>
      <c r="ID47" s="1">
        <v>141118</v>
      </c>
      <c r="IE47" s="1">
        <v>15444</v>
      </c>
      <c r="IF47" s="1">
        <v>18779</v>
      </c>
      <c r="IG47" s="1">
        <v>22633</v>
      </c>
      <c r="IH47" s="1">
        <v>21903</v>
      </c>
      <c r="II47" s="1">
        <v>19358</v>
      </c>
      <c r="IJ47" s="1">
        <v>29689</v>
      </c>
      <c r="IK47" s="1">
        <v>41719</v>
      </c>
      <c r="IL47" s="1">
        <v>57243</v>
      </c>
      <c r="IM47" s="1">
        <v>63364</v>
      </c>
      <c r="IN47" s="1">
        <v>67161</v>
      </c>
      <c r="IO47" s="1">
        <v>60484</v>
      </c>
      <c r="IP47" s="1">
        <v>57209</v>
      </c>
      <c r="IQ47" s="1">
        <v>51091</v>
      </c>
      <c r="IR47" s="1">
        <v>37573</v>
      </c>
      <c r="IS47" s="1">
        <v>31402</v>
      </c>
      <c r="IT47" s="1">
        <v>43588</v>
      </c>
      <c r="IU47" s="1">
        <v>25319</v>
      </c>
      <c r="IV47" s="1">
        <v>30432</v>
      </c>
      <c r="IW47">
        <v>10904</v>
      </c>
      <c r="IX47">
        <v>14380</v>
      </c>
      <c r="IY47">
        <v>15129</v>
      </c>
      <c r="IZ47">
        <v>38563</v>
      </c>
      <c r="JA47">
        <v>551</v>
      </c>
      <c r="JB47">
        <v>810346</v>
      </c>
      <c r="JC47">
        <v>59362</v>
      </c>
      <c r="JD47">
        <v>8120</v>
      </c>
      <c r="JE47">
        <v>9411</v>
      </c>
      <c r="JF47">
        <v>8713</v>
      </c>
      <c r="JG47">
        <v>6350</v>
      </c>
      <c r="JH47">
        <v>4152</v>
      </c>
      <c r="JI47">
        <v>3552</v>
      </c>
      <c r="JJ47">
        <v>45223</v>
      </c>
      <c r="JK47">
        <v>658</v>
      </c>
      <c r="JL47">
        <v>187224</v>
      </c>
      <c r="JM47">
        <v>45146</v>
      </c>
      <c r="JN47">
        <v>69762</v>
      </c>
      <c r="JO47">
        <v>111524</v>
      </c>
      <c r="JP47">
        <v>141747</v>
      </c>
      <c r="JQ47">
        <v>110755</v>
      </c>
      <c r="JR47">
        <v>85485</v>
      </c>
      <c r="JS47">
        <v>87168</v>
      </c>
      <c r="JT47">
        <v>28938</v>
      </c>
      <c r="JU47">
        <v>370</v>
      </c>
      <c r="JV47">
        <v>111612</v>
      </c>
      <c r="JW47">
        <v>130433</v>
      </c>
      <c r="JX47">
        <v>273507</v>
      </c>
      <c r="JY47">
        <v>274844</v>
      </c>
      <c r="JZ47">
        <v>337545</v>
      </c>
      <c r="KA47">
        <v>227228</v>
      </c>
      <c r="KB47">
        <v>196543</v>
      </c>
      <c r="KC47">
        <v>85989</v>
      </c>
      <c r="KD47">
        <v>186305</v>
      </c>
      <c r="KE47">
        <v>18155</v>
      </c>
      <c r="KF47">
        <v>7275</v>
      </c>
      <c r="KG47">
        <v>99088</v>
      </c>
      <c r="KH47">
        <v>219004</v>
      </c>
      <c r="KI47">
        <v>44989</v>
      </c>
      <c r="KJ47">
        <v>233180</v>
      </c>
      <c r="KK47">
        <v>63486</v>
      </c>
      <c r="KL47">
        <v>15971</v>
      </c>
      <c r="KM47">
        <v>32836</v>
      </c>
      <c r="KN47">
        <v>75316</v>
      </c>
      <c r="KO47">
        <v>28581</v>
      </c>
      <c r="KP47">
        <v>73266</v>
      </c>
      <c r="KQ47">
        <v>959</v>
      </c>
      <c r="KR47">
        <v>65861</v>
      </c>
      <c r="KS47">
        <v>176456</v>
      </c>
      <c r="KT47">
        <v>273935</v>
      </c>
      <c r="KU47">
        <v>32366</v>
      </c>
      <c r="KV47">
        <v>144583</v>
      </c>
      <c r="KW47">
        <v>88403</v>
      </c>
      <c r="KX47">
        <v>92114</v>
      </c>
      <c r="KY47">
        <v>1202841</v>
      </c>
      <c r="KZ47">
        <v>48612</v>
      </c>
      <c r="LA47">
        <v>156054</v>
      </c>
      <c r="LB47">
        <v>140964</v>
      </c>
      <c r="LC47">
        <v>97048</v>
      </c>
      <c r="LD47">
        <v>42363</v>
      </c>
      <c r="LE47">
        <v>95853</v>
      </c>
      <c r="LF47">
        <v>2089</v>
      </c>
      <c r="LG47">
        <v>1653399</v>
      </c>
      <c r="LH47">
        <v>21837</v>
      </c>
      <c r="LI47">
        <v>71444</v>
      </c>
      <c r="LJ47">
        <v>6382</v>
      </c>
      <c r="LK47">
        <v>40540</v>
      </c>
      <c r="LL47">
        <v>5475</v>
      </c>
      <c r="LM47">
        <v>15293</v>
      </c>
      <c r="LN47">
        <v>1809</v>
      </c>
      <c r="LO47">
        <v>7827</v>
      </c>
      <c r="LP47">
        <v>6048.4711900000002</v>
      </c>
      <c r="LQ47">
        <v>727.79283999999996</v>
      </c>
    </row>
    <row r="48" spans="1:329" x14ac:dyDescent="0.25">
      <c r="A48" s="5" t="s">
        <v>370</v>
      </c>
      <c r="B48" s="5" t="s">
        <v>303</v>
      </c>
      <c r="C48" s="1">
        <v>5206366</v>
      </c>
      <c r="D48" s="1">
        <v>6012984</v>
      </c>
      <c r="E48" s="1">
        <v>6343042</v>
      </c>
      <c r="F48" s="1">
        <v>6605346</v>
      </c>
      <c r="G48" s="1">
        <v>6847349</v>
      </c>
      <c r="H48" s="1">
        <v>1974853</v>
      </c>
      <c r="I48" s="1">
        <v>2345051</v>
      </c>
      <c r="J48" s="1">
        <v>2502532</v>
      </c>
      <c r="K48" s="1">
        <v>2732783</v>
      </c>
      <c r="L48" s="1">
        <v>2817524</v>
      </c>
      <c r="M48" s="1">
        <v>2961121</v>
      </c>
      <c r="N48" s="1">
        <v>1961870</v>
      </c>
      <c r="O48" s="1">
        <v>770913</v>
      </c>
      <c r="P48" s="1">
        <v>228338</v>
      </c>
      <c r="Q48" s="1">
        <v>320266</v>
      </c>
      <c r="R48" s="1">
        <v>55073</v>
      </c>
      <c r="S48" s="1">
        <v>827</v>
      </c>
      <c r="T48" s="1">
        <v>5379821</v>
      </c>
      <c r="U48" s="1">
        <v>1167309</v>
      </c>
      <c r="V48" s="1">
        <v>58216</v>
      </c>
      <c r="W48" s="1">
        <v>4248</v>
      </c>
      <c r="X48" s="1">
        <v>210</v>
      </c>
      <c r="Y48" s="2">
        <v>38.42</v>
      </c>
      <c r="Z48" s="1">
        <v>416854</v>
      </c>
      <c r="AA48" s="1">
        <v>414825</v>
      </c>
      <c r="AB48" s="1">
        <v>427005</v>
      </c>
      <c r="AC48" s="1">
        <v>404424</v>
      </c>
      <c r="AD48" s="1">
        <v>401990</v>
      </c>
      <c r="AE48" s="1">
        <v>456221</v>
      </c>
      <c r="AF48" s="1">
        <v>420058</v>
      </c>
      <c r="AG48" s="1">
        <v>408725</v>
      </c>
      <c r="AH48" s="1">
        <v>380744</v>
      </c>
      <c r="AI48" s="1">
        <v>411087</v>
      </c>
      <c r="AJ48" s="1">
        <v>423224</v>
      </c>
      <c r="AK48" s="1">
        <v>452955</v>
      </c>
      <c r="AL48" s="1">
        <v>431227</v>
      </c>
      <c r="AM48" s="1">
        <v>381357</v>
      </c>
      <c r="AN48" s="1">
        <v>313984</v>
      </c>
      <c r="AO48" s="1">
        <v>213454</v>
      </c>
      <c r="AP48" s="1">
        <v>131226</v>
      </c>
      <c r="AQ48" s="1">
        <v>115983</v>
      </c>
      <c r="AR48" s="1">
        <v>3253807</v>
      </c>
      <c r="AS48" s="1">
        <v>3351539</v>
      </c>
      <c r="AT48" s="1">
        <v>4924250</v>
      </c>
      <c r="AU48" s="1">
        <v>687239</v>
      </c>
      <c r="AV48" s="1">
        <v>53371</v>
      </c>
      <c r="AW48" s="1">
        <v>104656</v>
      </c>
      <c r="AX48" s="1">
        <v>4757</v>
      </c>
      <c r="AY48" s="1">
        <v>8096</v>
      </c>
      <c r="AZ48" s="1">
        <v>153699</v>
      </c>
      <c r="BA48" s="1">
        <v>669789</v>
      </c>
      <c r="BB48" s="1">
        <v>5346663</v>
      </c>
      <c r="BC48" s="1">
        <v>1579623</v>
      </c>
      <c r="BD48" s="1">
        <v>2366620</v>
      </c>
      <c r="BE48" s="1">
        <v>259649</v>
      </c>
      <c r="BF48" s="1">
        <v>372209</v>
      </c>
      <c r="BG48" s="1">
        <v>768562</v>
      </c>
      <c r="BH48" s="1">
        <v>4540247</v>
      </c>
      <c r="BI48" s="1">
        <v>232009</v>
      </c>
      <c r="BJ48" s="1">
        <v>466466</v>
      </c>
      <c r="BK48" s="1">
        <v>1674144</v>
      </c>
      <c r="BL48" s="1">
        <v>1004619</v>
      </c>
      <c r="BM48" s="1">
        <v>403084</v>
      </c>
      <c r="BN48" s="1">
        <v>507445</v>
      </c>
      <c r="BO48" s="1">
        <v>252480</v>
      </c>
      <c r="BP48" s="1">
        <v>5269836</v>
      </c>
      <c r="BQ48" s="1">
        <v>13099</v>
      </c>
      <c r="BR48" s="1">
        <v>2975268</v>
      </c>
      <c r="BS48" s="1">
        <v>126257</v>
      </c>
      <c r="BT48" s="1">
        <v>2155212</v>
      </c>
      <c r="BU48" s="1">
        <v>1771526</v>
      </c>
      <c r="BV48" s="1">
        <v>961257</v>
      </c>
      <c r="BW48" s="1">
        <v>484901</v>
      </c>
      <c r="BX48" s="1">
        <v>94700</v>
      </c>
      <c r="BY48" s="1">
        <v>247693</v>
      </c>
      <c r="BZ48" s="1">
        <v>747663</v>
      </c>
      <c r="CA48" s="1">
        <v>63450</v>
      </c>
      <c r="CB48" s="1">
        <v>132422</v>
      </c>
      <c r="CC48" s="2">
        <v>2.4</v>
      </c>
      <c r="CD48" s="1">
        <v>797784</v>
      </c>
      <c r="CE48" s="1">
        <v>966664</v>
      </c>
      <c r="CF48" s="1">
        <v>411262</v>
      </c>
      <c r="CG48" s="1">
        <v>312134</v>
      </c>
      <c r="CH48" s="1">
        <v>149971</v>
      </c>
      <c r="CI48" s="1">
        <v>58190</v>
      </c>
      <c r="CJ48" s="1">
        <v>36780</v>
      </c>
      <c r="CK48" s="2">
        <v>52.83</v>
      </c>
      <c r="CL48" s="1">
        <v>116501</v>
      </c>
      <c r="CM48" s="1">
        <v>406684</v>
      </c>
      <c r="CN48" s="1">
        <v>424257</v>
      </c>
      <c r="CO48" s="1">
        <v>474455</v>
      </c>
      <c r="CP48" s="1">
        <v>533842</v>
      </c>
      <c r="CQ48" s="1">
        <v>452102</v>
      </c>
      <c r="CR48" s="1">
        <v>242466</v>
      </c>
      <c r="CS48" s="1">
        <v>82476</v>
      </c>
      <c r="CT48" s="1">
        <v>159195</v>
      </c>
      <c r="CU48" s="1">
        <v>944958</v>
      </c>
      <c r="CV48" s="1">
        <v>1628631</v>
      </c>
      <c r="CW48" s="1">
        <v>23850</v>
      </c>
      <c r="CX48" s="1">
        <v>47338</v>
      </c>
      <c r="CY48" s="1">
        <v>58446</v>
      </c>
      <c r="CZ48" s="1">
        <v>190762</v>
      </c>
      <c r="DA48" s="1">
        <v>152117</v>
      </c>
      <c r="DB48" s="1">
        <v>168409</v>
      </c>
      <c r="DC48" s="1">
        <v>180817</v>
      </c>
      <c r="DD48" s="1">
        <v>161367</v>
      </c>
      <c r="DE48" s="1">
        <v>154579</v>
      </c>
      <c r="DF48" s="1">
        <v>147597</v>
      </c>
      <c r="DG48" s="1">
        <v>148187</v>
      </c>
      <c r="DH48" s="1">
        <v>133732</v>
      </c>
      <c r="DI48" s="1">
        <v>246046</v>
      </c>
      <c r="DJ48" s="1">
        <v>295661</v>
      </c>
      <c r="DK48" s="1">
        <v>344181</v>
      </c>
      <c r="DL48" s="1">
        <v>161227</v>
      </c>
      <c r="DM48" s="1">
        <v>107513</v>
      </c>
      <c r="DN48" s="1">
        <v>86115</v>
      </c>
      <c r="DO48" s="1">
        <v>54475</v>
      </c>
      <c r="DP48" s="1">
        <v>33787</v>
      </c>
      <c r="DQ48" s="1">
        <v>49758</v>
      </c>
      <c r="DR48" s="1">
        <v>54580</v>
      </c>
      <c r="DS48" s="1">
        <v>57119</v>
      </c>
      <c r="DT48" s="1">
        <v>52372</v>
      </c>
      <c r="DU48" s="1">
        <v>42631</v>
      </c>
      <c r="DV48" s="1">
        <v>32519</v>
      </c>
      <c r="DW48" s="2">
        <v>47844.95</v>
      </c>
      <c r="DX48" s="2">
        <v>22649.94</v>
      </c>
      <c r="DY48" s="2">
        <v>1495.78</v>
      </c>
      <c r="DZ48" s="2">
        <v>319.39999999999998</v>
      </c>
      <c r="EA48" s="2">
        <v>1650.85</v>
      </c>
      <c r="EB48" s="2">
        <v>1284.06</v>
      </c>
      <c r="EC48" s="2">
        <v>2644.18</v>
      </c>
      <c r="ED48" s="2">
        <v>7129.62</v>
      </c>
      <c r="EE48" s="2">
        <v>4191.17</v>
      </c>
      <c r="EF48" s="2">
        <v>1646.3</v>
      </c>
      <c r="EG48" s="2">
        <v>10104.17</v>
      </c>
      <c r="EH48" s="2">
        <v>1855.08</v>
      </c>
      <c r="EI48" s="2">
        <v>900.54</v>
      </c>
      <c r="EJ48" s="2">
        <v>640.91999999999996</v>
      </c>
      <c r="EK48" s="2">
        <v>104.07</v>
      </c>
      <c r="EL48" s="2">
        <v>324.83</v>
      </c>
      <c r="EM48" s="2">
        <v>8735.43</v>
      </c>
      <c r="EN48" s="2">
        <v>3717.66</v>
      </c>
      <c r="EO48" s="2">
        <v>1100.8900000000001</v>
      </c>
      <c r="EP48" s="1">
        <v>20659</v>
      </c>
      <c r="EQ48" s="1">
        <v>2666</v>
      </c>
      <c r="ER48" s="1">
        <v>526</v>
      </c>
      <c r="ES48" s="1">
        <v>3168</v>
      </c>
      <c r="ET48" s="1">
        <v>18425</v>
      </c>
      <c r="EU48" s="1">
        <v>32133</v>
      </c>
      <c r="EV48" s="1">
        <v>62187</v>
      </c>
      <c r="EW48" s="1">
        <v>4403</v>
      </c>
      <c r="EX48" s="1">
        <v>13139</v>
      </c>
      <c r="EY48" s="1">
        <v>2300</v>
      </c>
      <c r="EZ48" s="1">
        <v>159854</v>
      </c>
      <c r="FA48" s="1">
        <v>17503</v>
      </c>
      <c r="FB48" s="1">
        <v>86913</v>
      </c>
      <c r="FC48" s="1">
        <v>23079</v>
      </c>
      <c r="FD48" s="1">
        <v>15369</v>
      </c>
      <c r="FE48" s="1">
        <v>61845</v>
      </c>
      <c r="FF48" s="1">
        <v>3101</v>
      </c>
      <c r="FG48" s="1">
        <v>241043</v>
      </c>
      <c r="FH48" s="1">
        <v>30404</v>
      </c>
      <c r="FI48" s="1">
        <v>13698</v>
      </c>
      <c r="FJ48" s="1">
        <v>468</v>
      </c>
      <c r="FK48" s="1">
        <v>2021</v>
      </c>
      <c r="FL48" s="1">
        <v>3868</v>
      </c>
      <c r="FM48" s="1">
        <v>872</v>
      </c>
      <c r="FN48" s="1">
        <v>61981</v>
      </c>
      <c r="FO48" s="1">
        <v>339234</v>
      </c>
      <c r="FP48" s="1">
        <v>91</v>
      </c>
      <c r="FQ48" s="1">
        <v>77</v>
      </c>
      <c r="FR48" s="1">
        <v>72</v>
      </c>
      <c r="FS48" s="1">
        <v>80</v>
      </c>
      <c r="FT48" s="1">
        <v>47</v>
      </c>
      <c r="FU48" s="1">
        <v>90</v>
      </c>
      <c r="FV48" s="1">
        <v>93</v>
      </c>
      <c r="FW48" s="1">
        <v>112</v>
      </c>
      <c r="FX48" s="1">
        <v>91</v>
      </c>
      <c r="FY48" s="1">
        <v>61</v>
      </c>
      <c r="FZ48" s="3">
        <v>-0.76400000000000001</v>
      </c>
      <c r="GA48" s="3">
        <v>-2.5999999999999999E-2</v>
      </c>
      <c r="GB48" s="3">
        <v>4.3999999999999997E-2</v>
      </c>
      <c r="GC48" s="3">
        <v>-0.44800000000000001</v>
      </c>
      <c r="GD48" s="3">
        <v>-1.1439999999999999</v>
      </c>
      <c r="GE48" s="3">
        <v>0.41599999999999998</v>
      </c>
      <c r="GF48" s="3">
        <v>-0.23899999999999999</v>
      </c>
      <c r="GG48" s="3">
        <v>-0.157</v>
      </c>
      <c r="GH48" s="3">
        <v>1.1339999999999999</v>
      </c>
      <c r="GI48" s="3">
        <v>-0.151</v>
      </c>
      <c r="GJ48" s="3">
        <v>0.40699999999999997</v>
      </c>
      <c r="GK48" s="3">
        <v>-0.36299999999999999</v>
      </c>
      <c r="GL48" s="3">
        <v>0.20499999999999999</v>
      </c>
      <c r="GM48" s="3">
        <v>-4.4999999999999998E-2</v>
      </c>
      <c r="GN48" s="3">
        <v>0.26300000000000001</v>
      </c>
      <c r="GO48" s="3">
        <v>3.9E-2</v>
      </c>
      <c r="GP48" s="3">
        <v>-0.20100000000000001</v>
      </c>
      <c r="GQ48" s="3">
        <v>6.8000000000000005E-2</v>
      </c>
      <c r="GR48" s="3">
        <v>-0.16200000000000001</v>
      </c>
      <c r="GS48" s="3">
        <v>0.14899999999999999</v>
      </c>
      <c r="GT48" s="3">
        <v>-9.1999999999999998E-2</v>
      </c>
      <c r="GU48" s="3">
        <v>6.8000000000000005E-2</v>
      </c>
      <c r="GV48" s="3">
        <v>-0.19400000000000001</v>
      </c>
      <c r="GW48" s="3">
        <v>7.9000000000000001E-2</v>
      </c>
      <c r="GX48" s="3">
        <v>-0.182</v>
      </c>
      <c r="GY48" s="3">
        <v>-9.8000000000000004E-2</v>
      </c>
      <c r="GZ48" s="4">
        <v>84</v>
      </c>
      <c r="HA48" s="4">
        <v>88</v>
      </c>
      <c r="HB48" s="4">
        <v>71</v>
      </c>
      <c r="HC48" s="4">
        <v>98</v>
      </c>
      <c r="HD48" s="4">
        <v>63</v>
      </c>
      <c r="HE48" s="4">
        <v>91</v>
      </c>
      <c r="HF48" s="1">
        <v>117252</v>
      </c>
      <c r="HG48" s="1">
        <v>68801</v>
      </c>
      <c r="HH48" s="1">
        <v>55414</v>
      </c>
      <c r="HI48" s="1">
        <v>50632</v>
      </c>
      <c r="HJ48" s="1">
        <v>43262</v>
      </c>
      <c r="HK48" s="1">
        <v>47186</v>
      </c>
      <c r="HL48" s="1">
        <v>29213</v>
      </c>
      <c r="HM48" s="1">
        <v>72073</v>
      </c>
      <c r="HN48" s="1">
        <v>79654</v>
      </c>
      <c r="HO48" s="1">
        <v>84381</v>
      </c>
      <c r="HP48" s="1">
        <v>94916</v>
      </c>
      <c r="HQ48" s="1">
        <v>102270</v>
      </c>
      <c r="HR48" s="1">
        <v>83617</v>
      </c>
      <c r="HS48" s="1">
        <v>183825</v>
      </c>
      <c r="HT48" s="1">
        <v>133608</v>
      </c>
      <c r="HU48" s="1">
        <v>142399</v>
      </c>
      <c r="HV48" s="1">
        <v>82412</v>
      </c>
      <c r="HW48" s="1">
        <v>114364</v>
      </c>
      <c r="HX48" s="1">
        <v>71998</v>
      </c>
      <c r="HY48" s="1">
        <v>68330</v>
      </c>
      <c r="HZ48" s="1">
        <v>27743</v>
      </c>
      <c r="IA48" s="1">
        <v>27020</v>
      </c>
      <c r="IB48" s="1">
        <v>8305</v>
      </c>
      <c r="IC48" s="1">
        <v>12150</v>
      </c>
      <c r="ID48" s="1">
        <v>96619</v>
      </c>
      <c r="IE48" s="1">
        <v>10520</v>
      </c>
      <c r="IF48" s="1">
        <v>11592</v>
      </c>
      <c r="IG48" s="1">
        <v>13700</v>
      </c>
      <c r="IH48" s="1">
        <v>21101</v>
      </c>
      <c r="II48" s="1">
        <v>25365</v>
      </c>
      <c r="IJ48" s="1">
        <v>40888</v>
      </c>
      <c r="IK48" s="1">
        <v>51683</v>
      </c>
      <c r="IL48" s="1">
        <v>62358</v>
      </c>
      <c r="IM48" s="1">
        <v>58621</v>
      </c>
      <c r="IN48" s="1">
        <v>59451</v>
      </c>
      <c r="IO48" s="1">
        <v>47088</v>
      </c>
      <c r="IP48" s="1">
        <v>45717</v>
      </c>
      <c r="IQ48" s="1">
        <v>38155</v>
      </c>
      <c r="IR48" s="1">
        <v>29648</v>
      </c>
      <c r="IS48" s="1">
        <v>24108</v>
      </c>
      <c r="IT48" s="1">
        <v>37543</v>
      </c>
      <c r="IU48" s="1">
        <v>21272</v>
      </c>
      <c r="IV48" s="1">
        <v>25315</v>
      </c>
      <c r="IW48">
        <v>9294</v>
      </c>
      <c r="IX48">
        <v>7310</v>
      </c>
      <c r="IY48">
        <v>3401</v>
      </c>
      <c r="IZ48">
        <v>63926</v>
      </c>
      <c r="JA48">
        <v>512</v>
      </c>
      <c r="JB48">
        <v>1221937</v>
      </c>
      <c r="JC48">
        <v>34010</v>
      </c>
      <c r="JD48">
        <v>5642</v>
      </c>
      <c r="JE48">
        <v>4499</v>
      </c>
      <c r="JF48">
        <v>3515</v>
      </c>
      <c r="JG48">
        <v>2657</v>
      </c>
      <c r="JH48">
        <v>1686</v>
      </c>
      <c r="JI48">
        <v>2552</v>
      </c>
      <c r="JJ48">
        <v>794724</v>
      </c>
      <c r="JK48">
        <v>5512</v>
      </c>
      <c r="JL48">
        <v>224517</v>
      </c>
      <c r="JM48">
        <v>21794</v>
      </c>
      <c r="JN48">
        <v>39496</v>
      </c>
      <c r="JO48">
        <v>47701</v>
      </c>
      <c r="JP48">
        <v>54738</v>
      </c>
      <c r="JQ48">
        <v>39719</v>
      </c>
      <c r="JR48">
        <v>26357</v>
      </c>
      <c r="JS48">
        <v>22317</v>
      </c>
      <c r="JT48">
        <v>277347</v>
      </c>
      <c r="JU48">
        <v>1653</v>
      </c>
      <c r="JV48">
        <v>195530</v>
      </c>
      <c r="JW48">
        <v>242167</v>
      </c>
      <c r="JX48">
        <v>580247</v>
      </c>
      <c r="JY48">
        <v>498348</v>
      </c>
      <c r="JZ48">
        <v>520657</v>
      </c>
      <c r="KA48">
        <v>273679</v>
      </c>
      <c r="KB48">
        <v>217313</v>
      </c>
      <c r="KC48">
        <v>102440</v>
      </c>
      <c r="KD48">
        <v>201992</v>
      </c>
      <c r="KE48">
        <v>43995</v>
      </c>
      <c r="KF48">
        <v>15458</v>
      </c>
      <c r="KG48">
        <v>245949</v>
      </c>
      <c r="KH48">
        <v>416567</v>
      </c>
      <c r="KI48">
        <v>81791</v>
      </c>
      <c r="KJ48">
        <v>418587</v>
      </c>
      <c r="KK48">
        <v>139542</v>
      </c>
      <c r="KL48">
        <v>30262</v>
      </c>
      <c r="KM48">
        <v>44646</v>
      </c>
      <c r="KN48">
        <v>92538</v>
      </c>
      <c r="KO48">
        <v>44381</v>
      </c>
      <c r="KP48">
        <v>99568</v>
      </c>
      <c r="KQ48">
        <v>1423</v>
      </c>
      <c r="KR48">
        <v>132581</v>
      </c>
      <c r="KS48">
        <v>209436</v>
      </c>
      <c r="KT48">
        <v>393644</v>
      </c>
      <c r="KU48">
        <v>48779</v>
      </c>
      <c r="KV48">
        <v>239589</v>
      </c>
      <c r="KW48">
        <v>159325</v>
      </c>
      <c r="KX48">
        <v>134414</v>
      </c>
      <c r="KY48">
        <v>2141626</v>
      </c>
      <c r="KZ48">
        <v>75066</v>
      </c>
      <c r="LA48">
        <v>194112</v>
      </c>
      <c r="LB48">
        <v>196423</v>
      </c>
      <c r="LC48">
        <v>131202</v>
      </c>
      <c r="LD48">
        <v>64222</v>
      </c>
      <c r="LE48">
        <v>185988</v>
      </c>
      <c r="LF48">
        <v>3836</v>
      </c>
      <c r="LG48">
        <v>2580990</v>
      </c>
      <c r="LH48">
        <v>39733</v>
      </c>
      <c r="LI48">
        <v>114020</v>
      </c>
      <c r="LJ48">
        <v>6134</v>
      </c>
      <c r="LK48">
        <v>58480</v>
      </c>
      <c r="LL48">
        <v>5668</v>
      </c>
      <c r="LM48">
        <v>18894</v>
      </c>
      <c r="LN48">
        <v>1193</v>
      </c>
      <c r="LO48">
        <v>7261</v>
      </c>
      <c r="LP48">
        <v>63677.980470000002</v>
      </c>
      <c r="LQ48">
        <v>115.46362000000001</v>
      </c>
    </row>
    <row r="49" spans="1:329" x14ac:dyDescent="0.25">
      <c r="A49" s="5" t="s">
        <v>371</v>
      </c>
      <c r="B49" s="5" t="s">
        <v>304</v>
      </c>
      <c r="C49" s="1">
        <v>2906459</v>
      </c>
      <c r="D49" s="1">
        <v>3147818</v>
      </c>
      <c r="E49" s="1">
        <v>3270542</v>
      </c>
      <c r="F49" s="1">
        <v>3442048</v>
      </c>
      <c r="G49" s="1">
        <v>3567171</v>
      </c>
      <c r="H49" s="1">
        <v>1031929</v>
      </c>
      <c r="I49" s="1">
        <v>1108610</v>
      </c>
      <c r="J49" s="1">
        <v>1150992</v>
      </c>
      <c r="K49" s="1">
        <v>1246824</v>
      </c>
      <c r="L49" s="1">
        <v>1297922</v>
      </c>
      <c r="M49" s="1">
        <v>1363309</v>
      </c>
      <c r="N49" s="1">
        <v>796254</v>
      </c>
      <c r="O49" s="1">
        <v>450570</v>
      </c>
      <c r="P49" s="1">
        <v>116485</v>
      </c>
      <c r="Q49" s="1">
        <v>156082</v>
      </c>
      <c r="R49" s="1">
        <v>23710</v>
      </c>
      <c r="S49" s="1">
        <v>606</v>
      </c>
      <c r="T49" s="1">
        <v>2907949</v>
      </c>
      <c r="U49" s="1">
        <v>482238</v>
      </c>
      <c r="V49" s="1">
        <v>51861</v>
      </c>
      <c r="W49" s="1">
        <v>3134</v>
      </c>
      <c r="X49" s="1">
        <v>145</v>
      </c>
      <c r="Y49" s="2">
        <v>33.909999999999997</v>
      </c>
      <c r="Z49" s="1">
        <v>253564</v>
      </c>
      <c r="AA49" s="1">
        <v>248274</v>
      </c>
      <c r="AB49" s="1">
        <v>251765</v>
      </c>
      <c r="AC49" s="1">
        <v>244105</v>
      </c>
      <c r="AD49" s="1">
        <v>240471</v>
      </c>
      <c r="AE49" s="1">
        <v>252563</v>
      </c>
      <c r="AF49" s="1">
        <v>234450</v>
      </c>
      <c r="AG49" s="1">
        <v>223542</v>
      </c>
      <c r="AH49" s="1">
        <v>203684</v>
      </c>
      <c r="AI49" s="1">
        <v>203247</v>
      </c>
      <c r="AJ49" s="1">
        <v>198237</v>
      </c>
      <c r="AK49" s="1">
        <v>203403</v>
      </c>
      <c r="AL49" s="1">
        <v>186796</v>
      </c>
      <c r="AM49" s="1">
        <v>155999</v>
      </c>
      <c r="AN49" s="1">
        <v>126647</v>
      </c>
      <c r="AO49" s="1">
        <v>90321</v>
      </c>
      <c r="AP49" s="1">
        <v>62230</v>
      </c>
      <c r="AQ49" s="1">
        <v>62748</v>
      </c>
      <c r="AR49" s="1">
        <v>1714051</v>
      </c>
      <c r="AS49" s="1">
        <v>1727997</v>
      </c>
      <c r="AT49" s="1">
        <v>1117882</v>
      </c>
      <c r="AU49" s="1">
        <v>222431</v>
      </c>
      <c r="AV49" s="1">
        <v>21188</v>
      </c>
      <c r="AW49" s="1">
        <v>60603</v>
      </c>
      <c r="AX49" s="1">
        <v>2176</v>
      </c>
      <c r="AY49" s="1">
        <v>9269</v>
      </c>
      <c r="AZ49" s="1">
        <v>37985</v>
      </c>
      <c r="BA49" s="1">
        <v>1970704</v>
      </c>
      <c r="BB49" s="1">
        <v>2688444</v>
      </c>
      <c r="BC49" s="1">
        <v>926881</v>
      </c>
      <c r="BD49" s="1">
        <v>1098025</v>
      </c>
      <c r="BE49" s="1">
        <v>164862</v>
      </c>
      <c r="BF49" s="1">
        <v>166178</v>
      </c>
      <c r="BG49" s="1">
        <v>332498</v>
      </c>
      <c r="BH49" s="1">
        <v>2203869</v>
      </c>
      <c r="BI49" s="1">
        <v>235760</v>
      </c>
      <c r="BJ49" s="1">
        <v>246247</v>
      </c>
      <c r="BK49" s="1">
        <v>691191</v>
      </c>
      <c r="BL49" s="1">
        <v>489546</v>
      </c>
      <c r="BM49" s="1">
        <v>159659</v>
      </c>
      <c r="BN49" s="1">
        <v>257116</v>
      </c>
      <c r="BO49" s="1">
        <v>124350</v>
      </c>
      <c r="BP49" s="1">
        <v>2642290</v>
      </c>
      <c r="BQ49" s="1">
        <v>3943</v>
      </c>
      <c r="BR49" s="1">
        <v>1543930</v>
      </c>
      <c r="BS49" s="1">
        <v>66764</v>
      </c>
      <c r="BT49" s="1">
        <v>1027653</v>
      </c>
      <c r="BU49" s="1">
        <v>854302</v>
      </c>
      <c r="BV49" s="1">
        <v>392522</v>
      </c>
      <c r="BW49" s="1">
        <v>275524</v>
      </c>
      <c r="BX49" s="1">
        <v>50166</v>
      </c>
      <c r="BY49" s="1">
        <v>135222</v>
      </c>
      <c r="BZ49" s="1">
        <v>297061</v>
      </c>
      <c r="CA49" s="1">
        <v>31650</v>
      </c>
      <c r="CB49" s="1">
        <v>64085</v>
      </c>
      <c r="CC49" s="2">
        <v>2.72</v>
      </c>
      <c r="CD49" s="1">
        <v>324962</v>
      </c>
      <c r="CE49" s="1">
        <v>372562</v>
      </c>
      <c r="CF49" s="1">
        <v>195294</v>
      </c>
      <c r="CG49" s="1">
        <v>166162</v>
      </c>
      <c r="CH49" s="1">
        <v>101743</v>
      </c>
      <c r="CI49" s="1">
        <v>47457</v>
      </c>
      <c r="CJ49" s="1">
        <v>38643</v>
      </c>
      <c r="CK49" s="2">
        <v>50.39</v>
      </c>
      <c r="CL49" s="1">
        <v>63505</v>
      </c>
      <c r="CM49" s="1">
        <v>205093</v>
      </c>
      <c r="CN49" s="1">
        <v>215160</v>
      </c>
      <c r="CO49" s="1">
        <v>218408</v>
      </c>
      <c r="CP49" s="1">
        <v>227438</v>
      </c>
      <c r="CQ49" s="1">
        <v>175831</v>
      </c>
      <c r="CR49" s="1">
        <v>100704</v>
      </c>
      <c r="CS49" s="1">
        <v>40684</v>
      </c>
      <c r="CT49" s="1">
        <v>80220</v>
      </c>
      <c r="CU49" s="1">
        <v>424490</v>
      </c>
      <c r="CV49" s="1">
        <v>742114</v>
      </c>
      <c r="CW49" s="1">
        <v>22476</v>
      </c>
      <c r="CX49" s="1">
        <v>49142</v>
      </c>
      <c r="CY49" s="1">
        <v>58520</v>
      </c>
      <c r="CZ49" s="1">
        <v>93983</v>
      </c>
      <c r="DA49" s="1">
        <v>65613</v>
      </c>
      <c r="DB49" s="1">
        <v>72078</v>
      </c>
      <c r="DC49" s="1">
        <v>77822</v>
      </c>
      <c r="DD49" s="1">
        <v>69185</v>
      </c>
      <c r="DE49" s="1">
        <v>66723</v>
      </c>
      <c r="DF49" s="1">
        <v>64892</v>
      </c>
      <c r="DG49" s="1">
        <v>64409</v>
      </c>
      <c r="DH49" s="1">
        <v>58786</v>
      </c>
      <c r="DI49" s="1">
        <v>108288</v>
      </c>
      <c r="DJ49" s="1">
        <v>133381</v>
      </c>
      <c r="DK49" s="1">
        <v>158237</v>
      </c>
      <c r="DL49" s="1">
        <v>78455</v>
      </c>
      <c r="DM49" s="1">
        <v>55616</v>
      </c>
      <c r="DN49" s="1">
        <v>47621</v>
      </c>
      <c r="DO49" s="1">
        <v>31736</v>
      </c>
      <c r="DP49" s="1">
        <v>33832</v>
      </c>
      <c r="DQ49" s="1">
        <v>51430</v>
      </c>
      <c r="DR49" s="1">
        <v>57029</v>
      </c>
      <c r="DS49" s="1">
        <v>59184</v>
      </c>
      <c r="DT49" s="1">
        <v>53625</v>
      </c>
      <c r="DU49" s="1">
        <v>43847</v>
      </c>
      <c r="DV49" s="1">
        <v>33581</v>
      </c>
      <c r="DW49" s="2">
        <v>50062.559999999998</v>
      </c>
      <c r="DX49" s="2">
        <v>23700.29</v>
      </c>
      <c r="DY49" s="2">
        <v>1556.16</v>
      </c>
      <c r="DZ49" s="2">
        <v>334.3</v>
      </c>
      <c r="EA49" s="2">
        <v>1747.15</v>
      </c>
      <c r="EB49" s="2">
        <v>1381.82</v>
      </c>
      <c r="EC49" s="2">
        <v>2772.14</v>
      </c>
      <c r="ED49" s="2">
        <v>7473.54</v>
      </c>
      <c r="EE49" s="2">
        <v>4319.01</v>
      </c>
      <c r="EF49" s="2">
        <v>1723.35</v>
      </c>
      <c r="EG49" s="2">
        <v>10604.66</v>
      </c>
      <c r="EH49" s="2">
        <v>1937.3</v>
      </c>
      <c r="EI49" s="2">
        <v>938.11</v>
      </c>
      <c r="EJ49" s="2">
        <v>670.26</v>
      </c>
      <c r="EK49" s="2">
        <v>107.84</v>
      </c>
      <c r="EL49" s="2">
        <v>335.27</v>
      </c>
      <c r="EM49" s="2">
        <v>9149.89</v>
      </c>
      <c r="EN49" s="2">
        <v>3858.24</v>
      </c>
      <c r="EO49" s="2">
        <v>1153.52</v>
      </c>
      <c r="EP49" s="1">
        <v>21723</v>
      </c>
      <c r="EQ49" s="1">
        <v>2734</v>
      </c>
      <c r="ER49" s="1">
        <v>452</v>
      </c>
      <c r="ES49" s="1">
        <v>3669</v>
      </c>
      <c r="ET49" s="1">
        <v>22463</v>
      </c>
      <c r="EU49" s="1">
        <v>37825</v>
      </c>
      <c r="EV49" s="1">
        <v>65233</v>
      </c>
      <c r="EW49" s="1">
        <v>4125</v>
      </c>
      <c r="EX49" s="1">
        <v>15300</v>
      </c>
      <c r="EY49" s="1">
        <v>2871</v>
      </c>
      <c r="EZ49" s="1">
        <v>177175</v>
      </c>
      <c r="FA49" s="1">
        <v>18704</v>
      </c>
      <c r="FB49" s="1">
        <v>91488</v>
      </c>
      <c r="FC49" s="1">
        <v>27992</v>
      </c>
      <c r="FD49" s="1">
        <v>18588</v>
      </c>
      <c r="FE49" s="1">
        <v>75645</v>
      </c>
      <c r="FF49" s="1">
        <v>3714</v>
      </c>
      <c r="FG49" s="1">
        <v>282084</v>
      </c>
      <c r="FH49" s="1">
        <v>34066</v>
      </c>
      <c r="FI49" s="1">
        <v>14294</v>
      </c>
      <c r="FJ49" s="1">
        <v>574</v>
      </c>
      <c r="FK49" s="1">
        <v>2138</v>
      </c>
      <c r="FL49" s="1">
        <v>5002</v>
      </c>
      <c r="FM49" s="1">
        <v>977</v>
      </c>
      <c r="FN49" s="1">
        <v>71227</v>
      </c>
      <c r="FO49" s="1">
        <v>387923</v>
      </c>
      <c r="FP49" s="1">
        <v>126</v>
      </c>
      <c r="FQ49" s="1">
        <v>133</v>
      </c>
      <c r="FR49" s="1">
        <v>111</v>
      </c>
      <c r="FS49" s="1">
        <v>147</v>
      </c>
      <c r="FT49" s="1">
        <v>87</v>
      </c>
      <c r="FU49" s="1">
        <v>151</v>
      </c>
      <c r="FV49" s="1">
        <v>125</v>
      </c>
      <c r="FW49" s="1">
        <v>138</v>
      </c>
      <c r="FX49" s="1">
        <v>122</v>
      </c>
      <c r="FY49" s="1">
        <v>121</v>
      </c>
      <c r="FZ49" s="3">
        <v>-0.39200000000000002</v>
      </c>
      <c r="GA49" s="3">
        <v>0.20200000000000001</v>
      </c>
      <c r="GB49" s="3">
        <v>0.02</v>
      </c>
      <c r="GC49" s="3">
        <v>1.6619999999999999</v>
      </c>
      <c r="GD49" s="3">
        <v>-0.64900000000000002</v>
      </c>
      <c r="GE49" s="3">
        <v>6.8000000000000005E-2</v>
      </c>
      <c r="GF49" s="3">
        <v>-0.55400000000000005</v>
      </c>
      <c r="GG49" s="3">
        <v>0.43099999999999999</v>
      </c>
      <c r="GH49" s="3">
        <v>0.13800000000000001</v>
      </c>
      <c r="GI49" s="3">
        <v>0.13300000000000001</v>
      </c>
      <c r="GJ49" s="3">
        <v>-0.33200000000000002</v>
      </c>
      <c r="GK49" s="3">
        <v>-0.121</v>
      </c>
      <c r="GL49" s="3">
        <v>-2.9000000000000001E-2</v>
      </c>
      <c r="GM49" s="3">
        <v>-0.12</v>
      </c>
      <c r="GN49" s="3">
        <v>-0.47599999999999998</v>
      </c>
      <c r="GO49" s="3">
        <v>3.7999999999999999E-2</v>
      </c>
      <c r="GP49" s="3">
        <v>-3.3000000000000002E-2</v>
      </c>
      <c r="GQ49" s="3">
        <v>1.7999999999999999E-2</v>
      </c>
      <c r="GR49" s="3">
        <v>-0.17100000000000001</v>
      </c>
      <c r="GS49" s="3">
        <v>8.1000000000000003E-2</v>
      </c>
      <c r="GT49" s="3">
        <v>0.59299999999999997</v>
      </c>
      <c r="GU49" s="3">
        <v>0.40899999999999997</v>
      </c>
      <c r="GV49" s="3">
        <v>-8.8999999999999996E-2</v>
      </c>
      <c r="GW49" s="3">
        <v>-0.19800000000000001</v>
      </c>
      <c r="GX49" s="3">
        <v>-0.129</v>
      </c>
      <c r="GY49" s="3">
        <v>-4.2999999999999997E-2</v>
      </c>
      <c r="GZ49" s="4">
        <v>92</v>
      </c>
      <c r="HA49" s="4">
        <v>97</v>
      </c>
      <c r="HB49" s="4">
        <v>85</v>
      </c>
      <c r="HC49" s="4">
        <v>78</v>
      </c>
      <c r="HD49" s="4">
        <v>80</v>
      </c>
      <c r="HE49" s="4">
        <v>112</v>
      </c>
      <c r="HF49" s="1">
        <v>19847</v>
      </c>
      <c r="HG49" s="1">
        <v>13726</v>
      </c>
      <c r="HH49" s="1">
        <v>12960</v>
      </c>
      <c r="HI49" s="1">
        <v>13943</v>
      </c>
      <c r="HJ49" s="1">
        <v>13834</v>
      </c>
      <c r="HK49" s="1">
        <v>16384</v>
      </c>
      <c r="HL49" s="1">
        <v>13147</v>
      </c>
      <c r="HM49" s="1">
        <v>34955</v>
      </c>
      <c r="HN49" s="1">
        <v>40386</v>
      </c>
      <c r="HO49" s="1">
        <v>45104</v>
      </c>
      <c r="HP49" s="1">
        <v>51937</v>
      </c>
      <c r="HQ49" s="1">
        <v>56572</v>
      </c>
      <c r="HR49" s="1">
        <v>48562</v>
      </c>
      <c r="HS49" s="1">
        <v>86751</v>
      </c>
      <c r="HT49" s="1">
        <v>55334</v>
      </c>
      <c r="HU49" s="1">
        <v>57078</v>
      </c>
      <c r="HV49" s="1">
        <v>30528</v>
      </c>
      <c r="HW49" s="1">
        <v>43519</v>
      </c>
      <c r="HX49" s="1">
        <v>28323</v>
      </c>
      <c r="HY49" s="1">
        <v>28650</v>
      </c>
      <c r="HZ49" s="1">
        <v>12546</v>
      </c>
      <c r="IA49" s="1">
        <v>12391</v>
      </c>
      <c r="IB49" s="1">
        <v>3761</v>
      </c>
      <c r="IC49" s="1">
        <v>4388</v>
      </c>
      <c r="ID49" s="1">
        <v>98137</v>
      </c>
      <c r="IE49" s="1">
        <v>7829</v>
      </c>
      <c r="IF49" s="1">
        <v>8261</v>
      </c>
      <c r="IG49" s="1">
        <v>9665</v>
      </c>
      <c r="IH49" s="1">
        <v>11235</v>
      </c>
      <c r="II49" s="1">
        <v>12440</v>
      </c>
      <c r="IJ49" s="1">
        <v>18280</v>
      </c>
      <c r="IK49" s="1">
        <v>22040</v>
      </c>
      <c r="IL49" s="1">
        <v>28841</v>
      </c>
      <c r="IM49" s="1">
        <v>30187</v>
      </c>
      <c r="IN49" s="1">
        <v>31284</v>
      </c>
      <c r="IO49" s="1">
        <v>28008</v>
      </c>
      <c r="IP49" s="1">
        <v>28161</v>
      </c>
      <c r="IQ49" s="1">
        <v>23390</v>
      </c>
      <c r="IR49" s="1">
        <v>18352</v>
      </c>
      <c r="IS49" s="1">
        <v>15875</v>
      </c>
      <c r="IT49" s="1">
        <v>25717</v>
      </c>
      <c r="IU49" s="1">
        <v>16158</v>
      </c>
      <c r="IV49" s="1">
        <v>21781</v>
      </c>
      <c r="IW49">
        <v>3845</v>
      </c>
      <c r="IX49">
        <v>2350</v>
      </c>
      <c r="IY49">
        <v>963</v>
      </c>
      <c r="IZ49">
        <v>33096</v>
      </c>
      <c r="JA49">
        <v>522</v>
      </c>
      <c r="JB49">
        <v>598821</v>
      </c>
      <c r="JC49">
        <v>12913</v>
      </c>
      <c r="JD49">
        <v>2343</v>
      </c>
      <c r="JE49">
        <v>1504</v>
      </c>
      <c r="JF49">
        <v>1115</v>
      </c>
      <c r="JG49">
        <v>858</v>
      </c>
      <c r="JH49">
        <v>940</v>
      </c>
      <c r="JI49">
        <v>718</v>
      </c>
      <c r="JJ49">
        <v>63714</v>
      </c>
      <c r="JK49">
        <v>2014</v>
      </c>
      <c r="JL49">
        <v>177660</v>
      </c>
      <c r="JM49">
        <v>12200</v>
      </c>
      <c r="JN49">
        <v>27378</v>
      </c>
      <c r="JO49">
        <v>32831</v>
      </c>
      <c r="JP49">
        <v>30513</v>
      </c>
      <c r="JQ49">
        <v>24418</v>
      </c>
      <c r="JR49">
        <v>15495</v>
      </c>
      <c r="JS49">
        <v>19758</v>
      </c>
      <c r="JT49">
        <v>24781</v>
      </c>
      <c r="JU49">
        <v>538</v>
      </c>
      <c r="JV49">
        <v>55594</v>
      </c>
      <c r="JW49">
        <v>60932</v>
      </c>
      <c r="JX49">
        <v>116281</v>
      </c>
      <c r="JY49">
        <v>153374</v>
      </c>
      <c r="JZ49">
        <v>184592</v>
      </c>
      <c r="KA49">
        <v>142492</v>
      </c>
      <c r="KB49">
        <v>173137</v>
      </c>
      <c r="KC49">
        <v>71628</v>
      </c>
      <c r="KD49">
        <v>92482</v>
      </c>
      <c r="KE49">
        <v>27690</v>
      </c>
      <c r="KF49">
        <v>54558</v>
      </c>
      <c r="KG49">
        <v>97752</v>
      </c>
      <c r="KH49">
        <v>99885</v>
      </c>
      <c r="KI49">
        <v>29733</v>
      </c>
      <c r="KJ49">
        <v>141638</v>
      </c>
      <c r="KK49">
        <v>47891</v>
      </c>
      <c r="KL49">
        <v>14439</v>
      </c>
      <c r="KM49">
        <v>17722</v>
      </c>
      <c r="KN49">
        <v>39107</v>
      </c>
      <c r="KO49">
        <v>16410</v>
      </c>
      <c r="KP49">
        <v>39921</v>
      </c>
      <c r="KQ49">
        <v>532</v>
      </c>
      <c r="KR49">
        <v>49305</v>
      </c>
      <c r="KS49">
        <v>124331</v>
      </c>
      <c r="KT49">
        <v>149688</v>
      </c>
      <c r="KU49">
        <v>18041</v>
      </c>
      <c r="KV49">
        <v>96259</v>
      </c>
      <c r="KW49">
        <v>64546</v>
      </c>
      <c r="KX49">
        <v>81381</v>
      </c>
      <c r="KY49">
        <v>799404</v>
      </c>
      <c r="KZ49">
        <v>24733</v>
      </c>
      <c r="LA49">
        <v>69703</v>
      </c>
      <c r="LB49">
        <v>118508</v>
      </c>
      <c r="LC49">
        <v>75420</v>
      </c>
      <c r="LD49">
        <v>39021</v>
      </c>
      <c r="LE49">
        <v>82260</v>
      </c>
      <c r="LF49">
        <v>1780</v>
      </c>
      <c r="LG49">
        <v>582892</v>
      </c>
      <c r="LH49">
        <v>59257</v>
      </c>
      <c r="LI49">
        <v>381500</v>
      </c>
      <c r="LJ49">
        <v>1601</v>
      </c>
      <c r="LK49">
        <v>11690</v>
      </c>
      <c r="LL49">
        <v>2979</v>
      </c>
      <c r="LM49">
        <v>5942</v>
      </c>
      <c r="LN49">
        <v>640</v>
      </c>
      <c r="LO49">
        <v>4011</v>
      </c>
      <c r="LP49">
        <v>61959.289060000003</v>
      </c>
      <c r="LQ49">
        <v>49.479649999999999</v>
      </c>
    </row>
    <row r="50" spans="1:329" x14ac:dyDescent="0.25">
      <c r="A50" s="5" t="s">
        <v>372</v>
      </c>
      <c r="B50" s="5" t="s">
        <v>305</v>
      </c>
      <c r="C50" s="1">
        <v>2243716</v>
      </c>
      <c r="D50" s="1">
        <v>2803212</v>
      </c>
      <c r="E50" s="1">
        <v>3091765</v>
      </c>
      <c r="F50" s="1">
        <v>3355282</v>
      </c>
      <c r="G50" s="1">
        <v>3585256</v>
      </c>
      <c r="H50" s="1">
        <v>1053539</v>
      </c>
      <c r="I50" s="1">
        <v>1377316</v>
      </c>
      <c r="J50" s="1">
        <v>1601406</v>
      </c>
      <c r="K50" s="1">
        <v>1785998</v>
      </c>
      <c r="L50" s="1">
        <v>1863083</v>
      </c>
      <c r="M50" s="1">
        <v>2101675</v>
      </c>
      <c r="N50" s="1">
        <v>1418913</v>
      </c>
      <c r="O50" s="1">
        <v>367085</v>
      </c>
      <c r="P50" s="1">
        <v>315677</v>
      </c>
      <c r="Q50" s="1">
        <v>409640</v>
      </c>
      <c r="R50" s="1">
        <v>235711</v>
      </c>
      <c r="S50" s="1">
        <v>215</v>
      </c>
      <c r="T50" s="1">
        <v>2402670</v>
      </c>
      <c r="U50" s="1">
        <v>918844</v>
      </c>
      <c r="V50" s="1">
        <v>33768</v>
      </c>
      <c r="W50" s="1">
        <v>2964</v>
      </c>
      <c r="X50" s="1">
        <v>35</v>
      </c>
      <c r="Y50" s="2">
        <v>62.68</v>
      </c>
      <c r="Z50" s="1">
        <v>97910</v>
      </c>
      <c r="AA50" s="1">
        <v>99390</v>
      </c>
      <c r="AB50" s="1">
        <v>105056</v>
      </c>
      <c r="AC50" s="1">
        <v>103279</v>
      </c>
      <c r="AD50" s="1">
        <v>105625</v>
      </c>
      <c r="AE50" s="1">
        <v>120510</v>
      </c>
      <c r="AF50" s="1">
        <v>112101</v>
      </c>
      <c r="AG50" s="1">
        <v>111181</v>
      </c>
      <c r="AH50" s="1">
        <v>108926</v>
      </c>
      <c r="AI50" s="1">
        <v>127266</v>
      </c>
      <c r="AJ50" s="1">
        <v>151075</v>
      </c>
      <c r="AK50" s="1">
        <v>216790</v>
      </c>
      <c r="AL50" s="1">
        <v>296721</v>
      </c>
      <c r="AM50" s="1">
        <v>369224</v>
      </c>
      <c r="AN50" s="1">
        <v>406081</v>
      </c>
      <c r="AO50" s="1">
        <v>338181</v>
      </c>
      <c r="AP50" s="1">
        <v>239517</v>
      </c>
      <c r="AQ50" s="1">
        <v>246447</v>
      </c>
      <c r="AR50" s="1">
        <v>1540343</v>
      </c>
      <c r="AS50" s="1">
        <v>1814939</v>
      </c>
      <c r="AT50" s="1">
        <v>2720274</v>
      </c>
      <c r="AU50" s="1">
        <v>153326</v>
      </c>
      <c r="AV50" s="1">
        <v>12544</v>
      </c>
      <c r="AW50" s="1">
        <v>82634</v>
      </c>
      <c r="AX50" s="1">
        <v>2310</v>
      </c>
      <c r="AY50" s="1">
        <v>2341</v>
      </c>
      <c r="AZ50" s="1">
        <v>46070</v>
      </c>
      <c r="BA50" s="1">
        <v>336114</v>
      </c>
      <c r="BB50" s="1">
        <v>3052925</v>
      </c>
      <c r="BC50" s="1">
        <v>529950</v>
      </c>
      <c r="BD50" s="1">
        <v>1573448</v>
      </c>
      <c r="BE50" s="1">
        <v>108741</v>
      </c>
      <c r="BF50" s="1">
        <v>427005</v>
      </c>
      <c r="BG50" s="1">
        <v>413781</v>
      </c>
      <c r="BH50" s="1">
        <v>2844019</v>
      </c>
      <c r="BI50" s="1">
        <v>82895</v>
      </c>
      <c r="BJ50" s="1">
        <v>166188</v>
      </c>
      <c r="BK50" s="1">
        <v>863296</v>
      </c>
      <c r="BL50" s="1">
        <v>647276</v>
      </c>
      <c r="BM50" s="1">
        <v>242248</v>
      </c>
      <c r="BN50" s="1">
        <v>509236</v>
      </c>
      <c r="BO50" s="1">
        <v>332880</v>
      </c>
      <c r="BP50" s="1">
        <v>3033133</v>
      </c>
      <c r="BQ50" s="1">
        <v>2369</v>
      </c>
      <c r="BR50" s="1">
        <v>1113752</v>
      </c>
      <c r="BS50" s="1">
        <v>40829</v>
      </c>
      <c r="BT50" s="1">
        <v>1876183</v>
      </c>
      <c r="BU50" s="1">
        <v>966221</v>
      </c>
      <c r="BV50" s="1">
        <v>819777</v>
      </c>
      <c r="BW50" s="1">
        <v>148788</v>
      </c>
      <c r="BX50" s="1">
        <v>20850</v>
      </c>
      <c r="BY50" s="1">
        <v>54962</v>
      </c>
      <c r="BZ50" s="1">
        <v>661188</v>
      </c>
      <c r="CA50" s="1">
        <v>21640</v>
      </c>
      <c r="CB50" s="1">
        <v>58461</v>
      </c>
      <c r="CC50" s="2">
        <v>1.86</v>
      </c>
      <c r="CD50" s="1">
        <v>729483</v>
      </c>
      <c r="CE50" s="1">
        <v>794010</v>
      </c>
      <c r="CF50" s="1">
        <v>126268</v>
      </c>
      <c r="CG50" s="1">
        <v>79948</v>
      </c>
      <c r="CH50" s="1">
        <v>34953</v>
      </c>
      <c r="CI50" s="1">
        <v>13036</v>
      </c>
      <c r="CJ50" s="1">
        <v>8301</v>
      </c>
      <c r="CK50" s="2">
        <v>67.13</v>
      </c>
      <c r="CL50" s="1">
        <v>28218</v>
      </c>
      <c r="CM50" s="1">
        <v>109394</v>
      </c>
      <c r="CN50" s="1">
        <v>128226</v>
      </c>
      <c r="CO50" s="1">
        <v>168642</v>
      </c>
      <c r="CP50" s="1">
        <v>308455</v>
      </c>
      <c r="CQ50" s="1">
        <v>479707</v>
      </c>
      <c r="CR50" s="1">
        <v>387924</v>
      </c>
      <c r="CS50" s="1">
        <v>175432</v>
      </c>
      <c r="CT50" s="1">
        <v>117200</v>
      </c>
      <c r="CU50" s="1">
        <v>894014</v>
      </c>
      <c r="CV50" s="1">
        <v>774783</v>
      </c>
      <c r="CW50" s="1">
        <v>35839</v>
      </c>
      <c r="CX50" s="1">
        <v>51164</v>
      </c>
      <c r="CY50" s="1">
        <v>68420</v>
      </c>
      <c r="CZ50" s="1">
        <v>98521</v>
      </c>
      <c r="DA50" s="1">
        <v>84897</v>
      </c>
      <c r="DB50" s="1">
        <v>102185</v>
      </c>
      <c r="DC50" s="1">
        <v>113289</v>
      </c>
      <c r="DD50" s="1">
        <v>100772</v>
      </c>
      <c r="DE50" s="1">
        <v>98241</v>
      </c>
      <c r="DF50" s="1">
        <v>95643</v>
      </c>
      <c r="DG50" s="1">
        <v>94818</v>
      </c>
      <c r="DH50" s="1">
        <v>86032</v>
      </c>
      <c r="DI50" s="1">
        <v>159687</v>
      </c>
      <c r="DJ50" s="1">
        <v>188455</v>
      </c>
      <c r="DK50" s="1">
        <v>223272</v>
      </c>
      <c r="DL50" s="1">
        <v>110505</v>
      </c>
      <c r="DM50" s="1">
        <v>80773</v>
      </c>
      <c r="DN50" s="1">
        <v>78736</v>
      </c>
      <c r="DO50" s="1">
        <v>70172</v>
      </c>
      <c r="DP50" s="1">
        <v>37418</v>
      </c>
      <c r="DQ50" s="1">
        <v>56128</v>
      </c>
      <c r="DR50" s="1">
        <v>63680</v>
      </c>
      <c r="DS50" s="1">
        <v>68973</v>
      </c>
      <c r="DT50" s="1">
        <v>63452</v>
      </c>
      <c r="DU50" s="1">
        <v>53004</v>
      </c>
      <c r="DV50" s="1">
        <v>39026</v>
      </c>
      <c r="DW50" s="2">
        <v>53016.47</v>
      </c>
      <c r="DX50" s="2">
        <v>24984.58</v>
      </c>
      <c r="DY50" s="2">
        <v>1760.32</v>
      </c>
      <c r="DZ50" s="2">
        <v>368.5</v>
      </c>
      <c r="EA50" s="2">
        <v>1806.93</v>
      </c>
      <c r="EB50" s="2">
        <v>1444.53</v>
      </c>
      <c r="EC50" s="2">
        <v>2961.11</v>
      </c>
      <c r="ED50" s="2">
        <v>7801.38</v>
      </c>
      <c r="EE50" s="2">
        <v>4734.13</v>
      </c>
      <c r="EF50" s="2">
        <v>1847.83</v>
      </c>
      <c r="EG50" s="2">
        <v>11086.94</v>
      </c>
      <c r="EH50" s="2">
        <v>2103.2800000000002</v>
      </c>
      <c r="EI50" s="2">
        <v>1014.85</v>
      </c>
      <c r="EJ50" s="2">
        <v>714.06</v>
      </c>
      <c r="EK50" s="2">
        <v>120.4</v>
      </c>
      <c r="EL50" s="2">
        <v>339.71</v>
      </c>
      <c r="EM50" s="2">
        <v>9570.5</v>
      </c>
      <c r="EN50" s="2">
        <v>4059.75</v>
      </c>
      <c r="EO50" s="2">
        <v>1282.25</v>
      </c>
      <c r="EP50" s="1">
        <v>26802</v>
      </c>
      <c r="EQ50" s="1">
        <v>3402</v>
      </c>
      <c r="ER50" s="1">
        <v>569</v>
      </c>
      <c r="ES50" s="1">
        <v>5322</v>
      </c>
      <c r="ET50" s="1">
        <v>29251</v>
      </c>
      <c r="EU50" s="1">
        <v>48544</v>
      </c>
      <c r="EV50" s="1">
        <v>79739</v>
      </c>
      <c r="EW50" s="1">
        <v>4894</v>
      </c>
      <c r="EX50" s="1">
        <v>18392</v>
      </c>
      <c r="EY50" s="1">
        <v>3325</v>
      </c>
      <c r="EZ50" s="1">
        <v>220448</v>
      </c>
      <c r="FA50" s="1">
        <v>19349</v>
      </c>
      <c r="FB50" s="1">
        <v>164471</v>
      </c>
      <c r="FC50" s="1">
        <v>34618</v>
      </c>
      <c r="FD50" s="1">
        <v>21381</v>
      </c>
      <c r="FE50" s="1">
        <v>96899</v>
      </c>
      <c r="FF50" s="1">
        <v>4171</v>
      </c>
      <c r="FG50" s="1">
        <v>331177</v>
      </c>
      <c r="FH50" s="1">
        <v>58329</v>
      </c>
      <c r="FI50" s="1">
        <v>14419</v>
      </c>
      <c r="FJ50" s="1">
        <v>686</v>
      </c>
      <c r="FK50" s="1">
        <v>2257</v>
      </c>
      <c r="FL50" s="1">
        <v>6290</v>
      </c>
      <c r="FM50" s="1">
        <v>1088</v>
      </c>
      <c r="FN50" s="1">
        <v>78848</v>
      </c>
      <c r="FO50" s="1">
        <v>473896</v>
      </c>
      <c r="FP50" s="1">
        <v>74</v>
      </c>
      <c r="FQ50" s="1">
        <v>53</v>
      </c>
      <c r="FR50" s="1">
        <v>40</v>
      </c>
      <c r="FS50" s="1">
        <v>67</v>
      </c>
      <c r="FT50" s="1">
        <v>48</v>
      </c>
      <c r="FU50" s="1">
        <v>53</v>
      </c>
      <c r="FV50" s="1">
        <v>77</v>
      </c>
      <c r="FW50" s="1">
        <v>70</v>
      </c>
      <c r="FX50" s="1">
        <v>83</v>
      </c>
      <c r="FY50" s="1">
        <v>48</v>
      </c>
      <c r="FZ50" s="3">
        <v>-0.27300000000000002</v>
      </c>
      <c r="GA50" s="3">
        <v>-0.95599999999999996</v>
      </c>
      <c r="GB50" s="3">
        <v>2.754</v>
      </c>
      <c r="GC50" s="3">
        <v>0.24299999999999999</v>
      </c>
      <c r="GD50" s="3">
        <v>-0.20699999999999999</v>
      </c>
      <c r="GE50" s="3">
        <v>0.27300000000000002</v>
      </c>
      <c r="GF50" s="3">
        <v>-2E-3</v>
      </c>
      <c r="GG50" s="3">
        <v>-0.22700000000000001</v>
      </c>
      <c r="GH50" s="3">
        <v>0.999</v>
      </c>
      <c r="GI50" s="3">
        <v>0.59299999999999997</v>
      </c>
      <c r="GJ50" s="3">
        <v>8.5000000000000006E-2</v>
      </c>
      <c r="GK50" s="3">
        <v>0.30299999999999999</v>
      </c>
      <c r="GL50" s="3">
        <v>0.64300000000000002</v>
      </c>
      <c r="GM50" s="3">
        <v>0.11899999999999999</v>
      </c>
      <c r="GN50" s="3">
        <v>-0.376</v>
      </c>
      <c r="GO50" s="3">
        <v>-0.59299999999999997</v>
      </c>
      <c r="GP50" s="3">
        <v>-0.66500000000000004</v>
      </c>
      <c r="GQ50" s="3">
        <v>0.58599999999999997</v>
      </c>
      <c r="GR50" s="3">
        <v>0.04</v>
      </c>
      <c r="GS50" s="3">
        <v>0.46200000000000002</v>
      </c>
      <c r="GT50" s="3">
        <v>-6.9000000000000006E-2</v>
      </c>
      <c r="GU50" s="3">
        <v>-8.4000000000000005E-2</v>
      </c>
      <c r="GV50" s="3">
        <v>-0.221</v>
      </c>
      <c r="GW50" s="3">
        <v>0.56299999999999994</v>
      </c>
      <c r="GX50" s="3">
        <v>0.41899999999999998</v>
      </c>
      <c r="GY50" s="3">
        <v>1.2999999999999999E-2</v>
      </c>
      <c r="GZ50" s="4">
        <v>92</v>
      </c>
      <c r="HA50" s="4">
        <v>90</v>
      </c>
      <c r="HB50" s="4">
        <v>89</v>
      </c>
      <c r="HC50" s="4">
        <v>105</v>
      </c>
      <c r="HD50" s="4">
        <v>90</v>
      </c>
      <c r="HE50" s="4">
        <v>84</v>
      </c>
      <c r="HF50" s="1">
        <v>24392</v>
      </c>
      <c r="HG50" s="1">
        <v>19235</v>
      </c>
      <c r="HH50" s="1">
        <v>16617</v>
      </c>
      <c r="HI50" s="1">
        <v>16706</v>
      </c>
      <c r="HJ50" s="1">
        <v>16589</v>
      </c>
      <c r="HK50" s="1">
        <v>19418</v>
      </c>
      <c r="HL50" s="1">
        <v>13093</v>
      </c>
      <c r="HM50" s="1">
        <v>33205</v>
      </c>
      <c r="HN50" s="1">
        <v>41002</v>
      </c>
      <c r="HO50" s="1">
        <v>44712</v>
      </c>
      <c r="HP50" s="1">
        <v>49598</v>
      </c>
      <c r="HQ50" s="1">
        <v>55874</v>
      </c>
      <c r="HR50" s="1">
        <v>46901</v>
      </c>
      <c r="HS50" s="1">
        <v>117686</v>
      </c>
      <c r="HT50" s="1">
        <v>98483</v>
      </c>
      <c r="HU50" s="1">
        <v>119807</v>
      </c>
      <c r="HV50" s="1">
        <v>79775</v>
      </c>
      <c r="HW50" s="1">
        <v>131362</v>
      </c>
      <c r="HX50" s="1">
        <v>91030</v>
      </c>
      <c r="HY50" s="1">
        <v>113786</v>
      </c>
      <c r="HZ50" s="1">
        <v>53204</v>
      </c>
      <c r="IA50" s="1">
        <v>49240</v>
      </c>
      <c r="IB50" s="1">
        <v>16503</v>
      </c>
      <c r="IC50" s="1">
        <v>16790</v>
      </c>
      <c r="ID50" s="1">
        <v>156049</v>
      </c>
      <c r="IE50" s="1">
        <v>2816</v>
      </c>
      <c r="IF50" s="1">
        <v>3228</v>
      </c>
      <c r="IG50" s="1">
        <v>4268</v>
      </c>
      <c r="IH50" s="1">
        <v>5305</v>
      </c>
      <c r="II50" s="1">
        <v>5532</v>
      </c>
      <c r="IJ50" s="1">
        <v>7231</v>
      </c>
      <c r="IK50" s="1">
        <v>8447</v>
      </c>
      <c r="IL50" s="1">
        <v>12930</v>
      </c>
      <c r="IM50" s="1">
        <v>12481</v>
      </c>
      <c r="IN50" s="1">
        <v>17967</v>
      </c>
      <c r="IO50" s="1">
        <v>15646</v>
      </c>
      <c r="IP50" s="1">
        <v>17959</v>
      </c>
      <c r="IQ50" s="1">
        <v>16807</v>
      </c>
      <c r="IR50" s="1">
        <v>16125</v>
      </c>
      <c r="IS50" s="1">
        <v>16202</v>
      </c>
      <c r="IT50" s="1">
        <v>28393</v>
      </c>
      <c r="IU50" s="1">
        <v>19603</v>
      </c>
      <c r="IV50" s="1">
        <v>30847</v>
      </c>
      <c r="IW50">
        <v>12349</v>
      </c>
      <c r="IX50">
        <v>12876</v>
      </c>
      <c r="IY50">
        <v>13732</v>
      </c>
      <c r="IZ50">
        <v>20179</v>
      </c>
      <c r="JA50">
        <v>791</v>
      </c>
      <c r="JB50">
        <v>549330</v>
      </c>
      <c r="JC50">
        <v>112186</v>
      </c>
      <c r="JD50">
        <v>7947</v>
      </c>
      <c r="JE50">
        <v>24948</v>
      </c>
      <c r="JF50">
        <v>26043</v>
      </c>
      <c r="JG50">
        <v>24509</v>
      </c>
      <c r="JH50">
        <v>41515</v>
      </c>
      <c r="JI50">
        <v>29843</v>
      </c>
      <c r="JJ50">
        <v>258164</v>
      </c>
      <c r="JK50">
        <v>7149</v>
      </c>
      <c r="JL50">
        <v>57961</v>
      </c>
      <c r="JM50">
        <v>19158</v>
      </c>
      <c r="JN50">
        <v>8372</v>
      </c>
      <c r="JO50">
        <v>16769</v>
      </c>
      <c r="JP50">
        <v>19146</v>
      </c>
      <c r="JQ50">
        <v>18135</v>
      </c>
      <c r="JR50">
        <v>20421</v>
      </c>
      <c r="JS50">
        <v>34366</v>
      </c>
      <c r="JT50">
        <v>27707</v>
      </c>
      <c r="JU50">
        <v>1131</v>
      </c>
      <c r="JV50">
        <v>93898</v>
      </c>
      <c r="JW50">
        <v>145213</v>
      </c>
      <c r="JX50">
        <v>276535</v>
      </c>
      <c r="JY50">
        <v>307598</v>
      </c>
      <c r="JZ50">
        <v>271443</v>
      </c>
      <c r="KA50">
        <v>109781</v>
      </c>
      <c r="KB50">
        <v>55585</v>
      </c>
      <c r="KC50">
        <v>18297</v>
      </c>
      <c r="KD50">
        <v>26450</v>
      </c>
      <c r="KE50">
        <v>5596</v>
      </c>
      <c r="KF50">
        <v>1600</v>
      </c>
      <c r="KG50">
        <v>35473</v>
      </c>
      <c r="KH50">
        <v>34084</v>
      </c>
      <c r="KI50">
        <v>15211</v>
      </c>
      <c r="KJ50">
        <v>92209</v>
      </c>
      <c r="KK50">
        <v>21674</v>
      </c>
      <c r="KL50">
        <v>4813</v>
      </c>
      <c r="KM50">
        <v>10458</v>
      </c>
      <c r="KN50">
        <v>25465</v>
      </c>
      <c r="KO50">
        <v>21805</v>
      </c>
      <c r="KP50">
        <v>35295</v>
      </c>
      <c r="KQ50">
        <v>700</v>
      </c>
      <c r="KR50">
        <v>30387</v>
      </c>
      <c r="KS50">
        <v>48163</v>
      </c>
      <c r="KT50">
        <v>83491</v>
      </c>
      <c r="KU50">
        <v>23694</v>
      </c>
      <c r="KV50">
        <v>41998</v>
      </c>
      <c r="KW50">
        <v>34446</v>
      </c>
      <c r="KX50">
        <v>26903</v>
      </c>
      <c r="KY50">
        <v>389122</v>
      </c>
      <c r="KZ50">
        <v>33079</v>
      </c>
      <c r="LA50">
        <v>45878</v>
      </c>
      <c r="LB50">
        <v>46095</v>
      </c>
      <c r="LC50">
        <v>20061</v>
      </c>
      <c r="LD50">
        <v>11809</v>
      </c>
      <c r="LE50">
        <v>46340</v>
      </c>
      <c r="LF50">
        <v>1081</v>
      </c>
      <c r="LG50">
        <v>1155274</v>
      </c>
      <c r="LH50">
        <v>15432</v>
      </c>
      <c r="LI50">
        <v>53002</v>
      </c>
      <c r="LJ50">
        <v>9397</v>
      </c>
      <c r="LK50">
        <v>52890</v>
      </c>
      <c r="LL50">
        <v>3245</v>
      </c>
      <c r="LM50">
        <v>9751</v>
      </c>
      <c r="LN50">
        <v>1381</v>
      </c>
      <c r="LO50">
        <v>4428</v>
      </c>
      <c r="LP50">
        <v>14478.101559999999</v>
      </c>
      <c r="LQ50">
        <v>173.01288</v>
      </c>
    </row>
    <row r="51" spans="1:329" x14ac:dyDescent="0.25">
      <c r="A51" s="5" t="s">
        <v>373</v>
      </c>
      <c r="B51" s="5" t="s">
        <v>306</v>
      </c>
      <c r="C51" s="1">
        <v>3646672</v>
      </c>
      <c r="D51" s="1">
        <v>3689400</v>
      </c>
      <c r="E51" s="1">
        <v>3616164</v>
      </c>
      <c r="F51" s="1">
        <v>3549969</v>
      </c>
      <c r="G51" s="1">
        <v>3545084</v>
      </c>
      <c r="H51" s="1">
        <v>1405482</v>
      </c>
      <c r="I51" s="1">
        <v>1459298</v>
      </c>
      <c r="J51" s="1">
        <v>1457889</v>
      </c>
      <c r="K51" s="1">
        <v>1510034</v>
      </c>
      <c r="L51" s="1">
        <v>1515319</v>
      </c>
      <c r="M51" s="1">
        <v>1691042</v>
      </c>
      <c r="N51" s="1">
        <v>1029961</v>
      </c>
      <c r="O51" s="1">
        <v>480073</v>
      </c>
      <c r="P51" s="1">
        <v>181008</v>
      </c>
      <c r="Q51" s="1">
        <v>202021</v>
      </c>
      <c r="R51" s="1">
        <v>28989</v>
      </c>
      <c r="S51" s="1">
        <v>477</v>
      </c>
      <c r="T51" s="1">
        <v>2642532</v>
      </c>
      <c r="U51" s="1">
        <v>671447</v>
      </c>
      <c r="V51" s="1">
        <v>235990</v>
      </c>
      <c r="W51" s="1">
        <v>4755</v>
      </c>
      <c r="X51" s="1">
        <v>5</v>
      </c>
      <c r="Y51" s="2">
        <v>43.32</v>
      </c>
      <c r="Z51" s="1">
        <v>207498</v>
      </c>
      <c r="AA51" s="1">
        <v>203667</v>
      </c>
      <c r="AB51" s="1">
        <v>210952</v>
      </c>
      <c r="AC51" s="1">
        <v>203956</v>
      </c>
      <c r="AD51" s="1">
        <v>198080</v>
      </c>
      <c r="AE51" s="1">
        <v>210164</v>
      </c>
      <c r="AF51" s="1">
        <v>192797</v>
      </c>
      <c r="AG51" s="1">
        <v>191920</v>
      </c>
      <c r="AH51" s="1">
        <v>180380</v>
      </c>
      <c r="AI51" s="1">
        <v>192411</v>
      </c>
      <c r="AJ51" s="1">
        <v>205017</v>
      </c>
      <c r="AK51" s="1">
        <v>236760</v>
      </c>
      <c r="AL51" s="1">
        <v>238590</v>
      </c>
      <c r="AM51" s="1">
        <v>217856</v>
      </c>
      <c r="AN51" s="1">
        <v>191897</v>
      </c>
      <c r="AO51" s="1">
        <v>158230</v>
      </c>
      <c r="AP51" s="1">
        <v>130703</v>
      </c>
      <c r="AQ51" s="1">
        <v>179087</v>
      </c>
      <c r="AR51" s="1">
        <v>1689213</v>
      </c>
      <c r="AS51" s="1">
        <v>1860756</v>
      </c>
      <c r="AT51" s="1">
        <v>2946900</v>
      </c>
      <c r="AU51" s="1">
        <v>234065</v>
      </c>
      <c r="AV51" s="1">
        <v>37588</v>
      </c>
      <c r="AW51" s="1">
        <v>33479</v>
      </c>
      <c r="AX51" s="1">
        <v>1188</v>
      </c>
      <c r="AY51" s="1">
        <v>2358</v>
      </c>
      <c r="AZ51" s="1">
        <v>83240</v>
      </c>
      <c r="BA51" s="1">
        <v>211503</v>
      </c>
      <c r="BB51" s="1">
        <v>2927852</v>
      </c>
      <c r="BC51" s="1">
        <v>751125</v>
      </c>
      <c r="BD51" s="1">
        <v>1287177</v>
      </c>
      <c r="BE51" s="1">
        <v>147441</v>
      </c>
      <c r="BF51" s="1">
        <v>327731</v>
      </c>
      <c r="BG51" s="1">
        <v>414378</v>
      </c>
      <c r="BH51" s="1">
        <v>2525814</v>
      </c>
      <c r="BI51" s="1">
        <v>131743</v>
      </c>
      <c r="BJ51" s="1">
        <v>223875</v>
      </c>
      <c r="BK51" s="1">
        <v>945207</v>
      </c>
      <c r="BL51" s="1">
        <v>539882</v>
      </c>
      <c r="BM51" s="1">
        <v>226799</v>
      </c>
      <c r="BN51" s="1">
        <v>301191</v>
      </c>
      <c r="BO51" s="1">
        <v>157117</v>
      </c>
      <c r="BP51" s="1">
        <v>2888116</v>
      </c>
      <c r="BQ51" s="1">
        <v>2595</v>
      </c>
      <c r="BR51" s="1">
        <v>1489871</v>
      </c>
      <c r="BS51" s="1">
        <v>55244</v>
      </c>
      <c r="BT51" s="1">
        <v>1340406</v>
      </c>
      <c r="BU51" s="1">
        <v>915720</v>
      </c>
      <c r="BV51" s="1">
        <v>594314</v>
      </c>
      <c r="BW51" s="1">
        <v>244285</v>
      </c>
      <c r="BX51" s="1">
        <v>39637</v>
      </c>
      <c r="BY51" s="1">
        <v>115249</v>
      </c>
      <c r="BZ51" s="1">
        <v>432113</v>
      </c>
      <c r="CA51" s="1">
        <v>24874</v>
      </c>
      <c r="CB51" s="1">
        <v>58702</v>
      </c>
      <c r="CC51" s="2">
        <v>2.19</v>
      </c>
      <c r="CD51" s="1">
        <v>532011</v>
      </c>
      <c r="CE51" s="1">
        <v>532583</v>
      </c>
      <c r="CF51" s="1">
        <v>192235</v>
      </c>
      <c r="CG51" s="1">
        <v>146663</v>
      </c>
      <c r="CH51" s="1">
        <v>68121</v>
      </c>
      <c r="CI51" s="1">
        <v>24684</v>
      </c>
      <c r="CJ51" s="1">
        <v>13736</v>
      </c>
      <c r="CK51" s="2">
        <v>56.25</v>
      </c>
      <c r="CL51" s="1">
        <v>60690</v>
      </c>
      <c r="CM51" s="1">
        <v>192155</v>
      </c>
      <c r="CN51" s="1">
        <v>204307</v>
      </c>
      <c r="CO51" s="1">
        <v>231363</v>
      </c>
      <c r="CP51" s="1">
        <v>295361</v>
      </c>
      <c r="CQ51" s="1">
        <v>265074</v>
      </c>
      <c r="CR51" s="1">
        <v>178012</v>
      </c>
      <c r="CS51" s="1">
        <v>83072</v>
      </c>
      <c r="CT51" s="1">
        <v>116936</v>
      </c>
      <c r="CU51" s="1">
        <v>517864</v>
      </c>
      <c r="CV51" s="1">
        <v>875234</v>
      </c>
      <c r="CW51" s="1">
        <v>25867</v>
      </c>
      <c r="CX51" s="1">
        <v>45776</v>
      </c>
      <c r="CY51" s="1">
        <v>60960</v>
      </c>
      <c r="CZ51" s="1">
        <v>116781</v>
      </c>
      <c r="DA51" s="1">
        <v>99205</v>
      </c>
      <c r="DB51" s="1">
        <v>101874</v>
      </c>
      <c r="DC51" s="1">
        <v>101311</v>
      </c>
      <c r="DD51" s="1">
        <v>86475</v>
      </c>
      <c r="DE51" s="1">
        <v>81376</v>
      </c>
      <c r="DF51" s="1">
        <v>78215</v>
      </c>
      <c r="DG51" s="1">
        <v>78831</v>
      </c>
      <c r="DH51" s="1">
        <v>70474</v>
      </c>
      <c r="DI51" s="1">
        <v>128771</v>
      </c>
      <c r="DJ51" s="1">
        <v>157870</v>
      </c>
      <c r="DK51" s="1">
        <v>187456</v>
      </c>
      <c r="DL51" s="1">
        <v>88838</v>
      </c>
      <c r="DM51" s="1">
        <v>57964</v>
      </c>
      <c r="DN51" s="1">
        <v>43608</v>
      </c>
      <c r="DO51" s="1">
        <v>30985</v>
      </c>
      <c r="DP51" s="1">
        <v>32757</v>
      </c>
      <c r="DQ51" s="1">
        <v>49109</v>
      </c>
      <c r="DR51" s="1">
        <v>54526</v>
      </c>
      <c r="DS51" s="1">
        <v>57306</v>
      </c>
      <c r="DT51" s="1">
        <v>52208</v>
      </c>
      <c r="DU51" s="1">
        <v>43341</v>
      </c>
      <c r="DV51" s="1">
        <v>31747</v>
      </c>
      <c r="DW51" s="2">
        <v>49093.15</v>
      </c>
      <c r="DX51" s="2">
        <v>23188.67</v>
      </c>
      <c r="DY51" s="2">
        <v>1544.62</v>
      </c>
      <c r="DZ51" s="2">
        <v>326.58</v>
      </c>
      <c r="EA51" s="2">
        <v>1685.66</v>
      </c>
      <c r="EB51" s="2">
        <v>1313.04</v>
      </c>
      <c r="EC51" s="2">
        <v>2706.82</v>
      </c>
      <c r="ED51" s="2">
        <v>7307.04</v>
      </c>
      <c r="EE51" s="2">
        <v>4319.88</v>
      </c>
      <c r="EF51" s="2">
        <v>1685.26</v>
      </c>
      <c r="EG51" s="2">
        <v>10401.790000000001</v>
      </c>
      <c r="EH51" s="2">
        <v>1905.47</v>
      </c>
      <c r="EI51" s="2">
        <v>925.93</v>
      </c>
      <c r="EJ51" s="2">
        <v>657.94</v>
      </c>
      <c r="EK51" s="2">
        <v>107.56</v>
      </c>
      <c r="EL51" s="2">
        <v>335.13</v>
      </c>
      <c r="EM51" s="2">
        <v>8915.5499999999993</v>
      </c>
      <c r="EN51" s="2">
        <v>3818.68</v>
      </c>
      <c r="EO51" s="2">
        <v>1136.2</v>
      </c>
      <c r="EP51" s="1">
        <v>20321</v>
      </c>
      <c r="EQ51" s="1">
        <v>2893</v>
      </c>
      <c r="ER51" s="1">
        <v>509</v>
      </c>
      <c r="ES51" s="1">
        <v>3231</v>
      </c>
      <c r="ET51" s="1">
        <v>16141</v>
      </c>
      <c r="EU51" s="1">
        <v>29851</v>
      </c>
      <c r="EV51" s="1">
        <v>61710</v>
      </c>
      <c r="EW51" s="1">
        <v>4862</v>
      </c>
      <c r="EX51" s="1">
        <v>12218</v>
      </c>
      <c r="EY51" s="1">
        <v>2206</v>
      </c>
      <c r="EZ51" s="1">
        <v>153334</v>
      </c>
      <c r="FA51" s="1">
        <v>16869</v>
      </c>
      <c r="FB51" s="1">
        <v>68627</v>
      </c>
      <c r="FC51" s="1">
        <v>20901</v>
      </c>
      <c r="FD51" s="1">
        <v>15964</v>
      </c>
      <c r="FE51" s="1">
        <v>63393</v>
      </c>
      <c r="FF51" s="1">
        <v>2704</v>
      </c>
      <c r="FG51" s="1">
        <v>230423</v>
      </c>
      <c r="FH51" s="1">
        <v>23591</v>
      </c>
      <c r="FI51" s="1">
        <v>13234</v>
      </c>
      <c r="FJ51" s="1">
        <v>419</v>
      </c>
      <c r="FK51" s="1">
        <v>1951</v>
      </c>
      <c r="FL51" s="1">
        <v>3363</v>
      </c>
      <c r="FM51" s="1">
        <v>823</v>
      </c>
      <c r="FN51" s="1">
        <v>56570</v>
      </c>
      <c r="FO51" s="1">
        <v>327364</v>
      </c>
      <c r="FP51" s="1">
        <v>85</v>
      </c>
      <c r="FQ51" s="1">
        <v>73</v>
      </c>
      <c r="FR51" s="1">
        <v>59</v>
      </c>
      <c r="FS51" s="1">
        <v>110</v>
      </c>
      <c r="FT51" s="1">
        <v>27</v>
      </c>
      <c r="FU51" s="1">
        <v>87</v>
      </c>
      <c r="FV51" s="1">
        <v>87</v>
      </c>
      <c r="FW51" s="1">
        <v>94</v>
      </c>
      <c r="FX51" s="1">
        <v>89</v>
      </c>
      <c r="FY51" s="1">
        <v>50</v>
      </c>
      <c r="FZ51" s="3">
        <v>-0.73</v>
      </c>
      <c r="GA51" s="3">
        <v>-0.17499999999999999</v>
      </c>
      <c r="GB51" s="3">
        <v>1.0649999999999999</v>
      </c>
      <c r="GC51" s="3">
        <v>-0.27600000000000002</v>
      </c>
      <c r="GD51" s="3">
        <v>-0.66600000000000004</v>
      </c>
      <c r="GE51" s="3">
        <v>0.45900000000000002</v>
      </c>
      <c r="GF51" s="3">
        <v>5.3999999999999999E-2</v>
      </c>
      <c r="GG51" s="3">
        <v>0.29599999999999999</v>
      </c>
      <c r="GH51" s="3">
        <v>-0.41199999999999998</v>
      </c>
      <c r="GI51" s="3">
        <v>9.7000000000000003E-2</v>
      </c>
      <c r="GJ51" s="3">
        <v>-3.7999999999999999E-2</v>
      </c>
      <c r="GK51" s="3">
        <v>-0.61499999999999999</v>
      </c>
      <c r="GL51" s="3">
        <v>0.23799999999999999</v>
      </c>
      <c r="GM51" s="3">
        <v>-6.3E-2</v>
      </c>
      <c r="GN51" s="3">
        <v>-0.80400000000000005</v>
      </c>
      <c r="GO51" s="3">
        <v>-0.16700000000000001</v>
      </c>
      <c r="GP51" s="3">
        <v>0.68200000000000005</v>
      </c>
      <c r="GQ51" s="3">
        <v>-0.152</v>
      </c>
      <c r="GR51" s="3">
        <v>2.1999999999999999E-2</v>
      </c>
      <c r="GS51" s="3">
        <v>-0.251</v>
      </c>
      <c r="GT51" s="3">
        <v>0.104</v>
      </c>
      <c r="GU51" s="3">
        <v>-0.121</v>
      </c>
      <c r="GV51" s="3">
        <v>0.17699999999999999</v>
      </c>
      <c r="GW51" s="3">
        <v>-0.157</v>
      </c>
      <c r="GX51" s="3">
        <v>0.192</v>
      </c>
      <c r="GY51" s="3">
        <v>0.38</v>
      </c>
      <c r="GZ51" s="4">
        <v>81</v>
      </c>
      <c r="HA51" s="4">
        <v>84</v>
      </c>
      <c r="HB51" s="4">
        <v>61</v>
      </c>
      <c r="HC51" s="4">
        <v>111</v>
      </c>
      <c r="HD51" s="4">
        <v>43</v>
      </c>
      <c r="HE51" s="4">
        <v>94</v>
      </c>
      <c r="HF51" s="1">
        <v>25189</v>
      </c>
      <c r="HG51" s="1">
        <v>18899</v>
      </c>
      <c r="HH51" s="1">
        <v>18725</v>
      </c>
      <c r="HI51" s="1">
        <v>20912</v>
      </c>
      <c r="HJ51" s="1">
        <v>19933</v>
      </c>
      <c r="HK51" s="1">
        <v>25447</v>
      </c>
      <c r="HL51" s="1">
        <v>19540</v>
      </c>
      <c r="HM51" s="1">
        <v>55160</v>
      </c>
      <c r="HN51" s="1">
        <v>62276</v>
      </c>
      <c r="HO51" s="1">
        <v>72700</v>
      </c>
      <c r="HP51" s="1">
        <v>79445</v>
      </c>
      <c r="HQ51" s="1">
        <v>86559</v>
      </c>
      <c r="HR51" s="1">
        <v>66527</v>
      </c>
      <c r="HS51" s="1">
        <v>111077</v>
      </c>
      <c r="HT51" s="1">
        <v>74305</v>
      </c>
      <c r="HU51" s="1">
        <v>70993</v>
      </c>
      <c r="HV51" s="1">
        <v>37149</v>
      </c>
      <c r="HW51" s="1">
        <v>49797</v>
      </c>
      <c r="HX51" s="1">
        <v>30485</v>
      </c>
      <c r="HY51" s="1">
        <v>24934</v>
      </c>
      <c r="HZ51" s="1">
        <v>9819</v>
      </c>
      <c r="IA51" s="1">
        <v>9065</v>
      </c>
      <c r="IB51" s="1">
        <v>2369</v>
      </c>
      <c r="IC51" s="1">
        <v>3575</v>
      </c>
      <c r="ID51" s="1">
        <v>89150</v>
      </c>
      <c r="IE51" s="1">
        <v>19211</v>
      </c>
      <c r="IF51" s="1">
        <v>21903</v>
      </c>
      <c r="IG51" s="1">
        <v>24336</v>
      </c>
      <c r="IH51" s="1">
        <v>29290</v>
      </c>
      <c r="II51" s="1">
        <v>29070</v>
      </c>
      <c r="IJ51" s="1">
        <v>38922</v>
      </c>
      <c r="IK51" s="1">
        <v>44880</v>
      </c>
      <c r="IL51" s="1">
        <v>43601</v>
      </c>
      <c r="IM51" s="1">
        <v>36075</v>
      </c>
      <c r="IN51" s="1">
        <v>29084</v>
      </c>
      <c r="IO51" s="1">
        <v>21008</v>
      </c>
      <c r="IP51" s="1">
        <v>17133</v>
      </c>
      <c r="IQ51" s="1">
        <v>13688</v>
      </c>
      <c r="IR51" s="1">
        <v>9730</v>
      </c>
      <c r="IS51" s="1">
        <v>6905</v>
      </c>
      <c r="IT51" s="1">
        <v>10032</v>
      </c>
      <c r="IU51" s="1">
        <v>6247</v>
      </c>
      <c r="IV51" s="1">
        <v>8238</v>
      </c>
      <c r="IW51">
        <v>4133</v>
      </c>
      <c r="IX51">
        <v>4123</v>
      </c>
      <c r="IY51">
        <v>3452</v>
      </c>
      <c r="IZ51">
        <v>53187</v>
      </c>
      <c r="JA51">
        <v>400</v>
      </c>
      <c r="JB51">
        <v>1078856</v>
      </c>
      <c r="JC51">
        <v>18241</v>
      </c>
      <c r="JD51">
        <v>4979</v>
      </c>
      <c r="JE51">
        <v>2553</v>
      </c>
      <c r="JF51">
        <v>1422</v>
      </c>
      <c r="JG51">
        <v>858</v>
      </c>
      <c r="JH51">
        <v>1134</v>
      </c>
      <c r="JI51">
        <v>1015</v>
      </c>
      <c r="JJ51">
        <v>90421</v>
      </c>
      <c r="JK51">
        <v>954</v>
      </c>
      <c r="JL51">
        <v>242957</v>
      </c>
      <c r="JM51">
        <v>17012</v>
      </c>
      <c r="JN51">
        <v>55941</v>
      </c>
      <c r="JO51">
        <v>68654</v>
      </c>
      <c r="JP51">
        <v>54920</v>
      </c>
      <c r="JQ51">
        <v>33921</v>
      </c>
      <c r="JR51">
        <v>33788</v>
      </c>
      <c r="JS51">
        <v>20348</v>
      </c>
      <c r="JT51">
        <v>39096</v>
      </c>
      <c r="JU51">
        <v>339</v>
      </c>
      <c r="JV51">
        <v>68091</v>
      </c>
      <c r="JW51">
        <v>85805</v>
      </c>
      <c r="JX51">
        <v>196295</v>
      </c>
      <c r="JY51">
        <v>208316</v>
      </c>
      <c r="JZ51">
        <v>316322</v>
      </c>
      <c r="KA51">
        <v>229238</v>
      </c>
      <c r="KB51">
        <v>228995</v>
      </c>
      <c r="KC51">
        <v>124154</v>
      </c>
      <c r="KD51">
        <v>310193</v>
      </c>
      <c r="KE51">
        <v>52413</v>
      </c>
      <c r="KF51">
        <v>15740</v>
      </c>
      <c r="KG51">
        <v>110219</v>
      </c>
      <c r="KH51">
        <v>232394</v>
      </c>
      <c r="KI51">
        <v>41103</v>
      </c>
      <c r="KJ51">
        <v>212119</v>
      </c>
      <c r="KK51">
        <v>70804</v>
      </c>
      <c r="KL51">
        <v>23560</v>
      </c>
      <c r="KM51">
        <v>27474</v>
      </c>
      <c r="KN51">
        <v>63385</v>
      </c>
      <c r="KO51">
        <v>17189</v>
      </c>
      <c r="KP51">
        <v>47493</v>
      </c>
      <c r="KQ51">
        <v>684</v>
      </c>
      <c r="KR51">
        <v>49163</v>
      </c>
      <c r="KS51">
        <v>165490</v>
      </c>
      <c r="KT51">
        <v>286277</v>
      </c>
      <c r="KU51">
        <v>25391</v>
      </c>
      <c r="KV51">
        <v>110852</v>
      </c>
      <c r="KW51">
        <v>86421</v>
      </c>
      <c r="KX51">
        <v>102033</v>
      </c>
      <c r="KY51">
        <v>1099738</v>
      </c>
      <c r="KZ51">
        <v>49645</v>
      </c>
      <c r="LA51">
        <v>141886</v>
      </c>
      <c r="LB51">
        <v>167863</v>
      </c>
      <c r="LC51">
        <v>107163</v>
      </c>
      <c r="LD51">
        <v>39918</v>
      </c>
      <c r="LE51">
        <v>131006</v>
      </c>
      <c r="LF51">
        <v>2985</v>
      </c>
      <c r="LG51">
        <v>1662642</v>
      </c>
      <c r="LH51">
        <v>11579</v>
      </c>
      <c r="LI51">
        <v>46957</v>
      </c>
      <c r="LJ51">
        <v>3226</v>
      </c>
      <c r="LK51">
        <v>28486</v>
      </c>
      <c r="LL51">
        <v>2136</v>
      </c>
      <c r="LM51">
        <v>6926</v>
      </c>
      <c r="LN51">
        <v>546</v>
      </c>
      <c r="LO51">
        <v>4911</v>
      </c>
      <c r="LP51">
        <v>55182.066409999999</v>
      </c>
      <c r="LQ51">
        <v>79.475149999999999</v>
      </c>
    </row>
    <row r="52" spans="1:329" x14ac:dyDescent="0.25">
      <c r="A52" s="5" t="s">
        <v>374</v>
      </c>
      <c r="B52" s="5" t="s">
        <v>307</v>
      </c>
      <c r="C52" s="1">
        <v>3256916</v>
      </c>
      <c r="D52" s="1">
        <v>4170257</v>
      </c>
      <c r="E52" s="1">
        <v>5195321</v>
      </c>
      <c r="F52" s="1">
        <v>5707528</v>
      </c>
      <c r="G52" s="1">
        <v>6047280</v>
      </c>
      <c r="H52" s="1">
        <v>1158614</v>
      </c>
      <c r="I52" s="1">
        <v>1534240</v>
      </c>
      <c r="J52" s="1">
        <v>1940298</v>
      </c>
      <c r="K52" s="1">
        <v>2224652</v>
      </c>
      <c r="L52" s="1">
        <v>2320326</v>
      </c>
      <c r="M52" s="1">
        <v>2360372</v>
      </c>
      <c r="N52" s="1">
        <v>1779776</v>
      </c>
      <c r="O52" s="1">
        <v>444876</v>
      </c>
      <c r="P52" s="1">
        <v>135720</v>
      </c>
      <c r="Q52" s="1">
        <v>194469</v>
      </c>
      <c r="R52" s="1">
        <v>39944</v>
      </c>
      <c r="S52" s="1">
        <v>556</v>
      </c>
      <c r="T52" s="1">
        <v>4904404</v>
      </c>
      <c r="U52" s="1">
        <v>758836</v>
      </c>
      <c r="V52" s="1">
        <v>44288</v>
      </c>
      <c r="W52" s="1">
        <v>4643</v>
      </c>
      <c r="X52" s="1">
        <v>92</v>
      </c>
      <c r="Y52" s="2">
        <v>38.72</v>
      </c>
      <c r="Z52" s="1">
        <v>346515</v>
      </c>
      <c r="AA52" s="1">
        <v>366702</v>
      </c>
      <c r="AB52" s="1">
        <v>390274</v>
      </c>
      <c r="AC52" s="1">
        <v>358976</v>
      </c>
      <c r="AD52" s="1">
        <v>307669</v>
      </c>
      <c r="AE52" s="1">
        <v>362575</v>
      </c>
      <c r="AF52" s="1">
        <v>365741</v>
      </c>
      <c r="AG52" s="1">
        <v>376599</v>
      </c>
      <c r="AH52" s="1">
        <v>352603</v>
      </c>
      <c r="AI52" s="1">
        <v>376124</v>
      </c>
      <c r="AJ52" s="1">
        <v>378770</v>
      </c>
      <c r="AK52" s="1">
        <v>404285</v>
      </c>
      <c r="AL52" s="1">
        <v>379162</v>
      </c>
      <c r="AM52" s="1">
        <v>327207</v>
      </c>
      <c r="AN52" s="1">
        <v>260219</v>
      </c>
      <c r="AO52" s="1">
        <v>169932</v>
      </c>
      <c r="AP52" s="1">
        <v>99383</v>
      </c>
      <c r="AQ52" s="1">
        <v>84794</v>
      </c>
      <c r="AR52" s="1">
        <v>2834239</v>
      </c>
      <c r="AS52" s="1">
        <v>2873289</v>
      </c>
      <c r="AT52" s="1">
        <v>4535200</v>
      </c>
      <c r="AU52" s="1">
        <v>460609</v>
      </c>
      <c r="AV52" s="1">
        <v>36623</v>
      </c>
      <c r="AW52" s="1">
        <v>93126</v>
      </c>
      <c r="AX52" s="1">
        <v>4151</v>
      </c>
      <c r="AY52" s="1">
        <v>5153</v>
      </c>
      <c r="AZ52" s="1">
        <v>118306</v>
      </c>
      <c r="BA52" s="1">
        <v>454724</v>
      </c>
      <c r="BB52" s="1">
        <v>4604040</v>
      </c>
      <c r="BC52" s="1">
        <v>1183729</v>
      </c>
      <c r="BD52" s="1">
        <v>2456734</v>
      </c>
      <c r="BE52" s="1">
        <v>172460</v>
      </c>
      <c r="BF52" s="1">
        <v>258394</v>
      </c>
      <c r="BG52" s="1">
        <v>532723</v>
      </c>
      <c r="BH52" s="1">
        <v>3937394</v>
      </c>
      <c r="BI52" s="1">
        <v>133179</v>
      </c>
      <c r="BJ52" s="1">
        <v>284146</v>
      </c>
      <c r="BK52" s="1">
        <v>1268140</v>
      </c>
      <c r="BL52" s="1">
        <v>903040</v>
      </c>
      <c r="BM52" s="1">
        <v>387188</v>
      </c>
      <c r="BN52" s="1">
        <v>628987</v>
      </c>
      <c r="BO52" s="1">
        <v>332714</v>
      </c>
      <c r="BP52" s="1">
        <v>4531958</v>
      </c>
      <c r="BQ52" s="1">
        <v>18626</v>
      </c>
      <c r="BR52" s="1">
        <v>2759140</v>
      </c>
      <c r="BS52" s="1">
        <v>84600</v>
      </c>
      <c r="BT52" s="1">
        <v>1669592</v>
      </c>
      <c r="BU52" s="1">
        <v>1606687</v>
      </c>
      <c r="BV52" s="1">
        <v>617965</v>
      </c>
      <c r="BW52" s="1">
        <v>516418</v>
      </c>
      <c r="BX52" s="1">
        <v>64862</v>
      </c>
      <c r="BY52" s="1">
        <v>151702</v>
      </c>
      <c r="BZ52" s="1">
        <v>748124</v>
      </c>
      <c r="CA52" s="1">
        <v>41347</v>
      </c>
      <c r="CB52" s="1">
        <v>83522</v>
      </c>
      <c r="CC52" s="2">
        <v>2.5499999999999998</v>
      </c>
      <c r="CD52" s="1">
        <v>506752</v>
      </c>
      <c r="CE52" s="1">
        <v>840087</v>
      </c>
      <c r="CF52" s="1">
        <v>359032</v>
      </c>
      <c r="CG52" s="1">
        <v>300570</v>
      </c>
      <c r="CH52" s="1">
        <v>136379</v>
      </c>
      <c r="CI52" s="1">
        <v>51092</v>
      </c>
      <c r="CJ52" s="1">
        <v>30740</v>
      </c>
      <c r="CK52" s="2">
        <v>52.3</v>
      </c>
      <c r="CL52" s="1">
        <v>81284</v>
      </c>
      <c r="CM52" s="1">
        <v>322199</v>
      </c>
      <c r="CN52" s="1">
        <v>371197</v>
      </c>
      <c r="CO52" s="1">
        <v>406944</v>
      </c>
      <c r="CP52" s="1">
        <v>445683</v>
      </c>
      <c r="CQ52" s="1">
        <v>360475</v>
      </c>
      <c r="CR52" s="1">
        <v>179852</v>
      </c>
      <c r="CS52" s="1">
        <v>57018</v>
      </c>
      <c r="CT52" s="1">
        <v>71572</v>
      </c>
      <c r="CU52" s="1">
        <v>560317</v>
      </c>
      <c r="CV52" s="1">
        <v>1592764</v>
      </c>
      <c r="CW52" s="1">
        <v>30162</v>
      </c>
      <c r="CX52" s="1">
        <v>65649</v>
      </c>
      <c r="CY52" s="1">
        <v>77199</v>
      </c>
      <c r="CZ52" s="1">
        <v>92505</v>
      </c>
      <c r="DA52" s="1">
        <v>72757</v>
      </c>
      <c r="DB52" s="1">
        <v>84682</v>
      </c>
      <c r="DC52" s="1">
        <v>95830</v>
      </c>
      <c r="DD52" s="1">
        <v>88025</v>
      </c>
      <c r="DE52" s="1">
        <v>92328</v>
      </c>
      <c r="DF52" s="1">
        <v>95912</v>
      </c>
      <c r="DG52" s="1">
        <v>100075</v>
      </c>
      <c r="DH52" s="1">
        <v>97240</v>
      </c>
      <c r="DI52" s="1">
        <v>192949</v>
      </c>
      <c r="DJ52" s="1">
        <v>265544</v>
      </c>
      <c r="DK52" s="1">
        <v>364867</v>
      </c>
      <c r="DL52" s="1">
        <v>202181</v>
      </c>
      <c r="DM52" s="1">
        <v>153827</v>
      </c>
      <c r="DN52" s="1">
        <v>137388</v>
      </c>
      <c r="DO52" s="1">
        <v>88541</v>
      </c>
      <c r="DP52" s="1">
        <v>45524</v>
      </c>
      <c r="DQ52" s="1">
        <v>64787</v>
      </c>
      <c r="DR52" s="1">
        <v>73935</v>
      </c>
      <c r="DS52" s="1">
        <v>81260</v>
      </c>
      <c r="DT52" s="1">
        <v>72610</v>
      </c>
      <c r="DU52" s="1">
        <v>57511</v>
      </c>
      <c r="DV52" s="1">
        <v>43407</v>
      </c>
      <c r="DW52" s="2">
        <v>58852.69</v>
      </c>
      <c r="DX52" s="2">
        <v>27937.03</v>
      </c>
      <c r="DY52" s="2">
        <v>1884.78</v>
      </c>
      <c r="DZ52" s="2">
        <v>411.12</v>
      </c>
      <c r="EA52" s="2">
        <v>2051.7399999999998</v>
      </c>
      <c r="EB52" s="2">
        <v>1651.35</v>
      </c>
      <c r="EC52" s="2">
        <v>3318.68</v>
      </c>
      <c r="ED52" s="2">
        <v>8709.7800000000007</v>
      </c>
      <c r="EE52" s="2">
        <v>5082.17</v>
      </c>
      <c r="EF52" s="2">
        <v>2066.11</v>
      </c>
      <c r="EG52" s="2">
        <v>12323.03</v>
      </c>
      <c r="EH52" s="2">
        <v>2295.65</v>
      </c>
      <c r="EI52" s="2">
        <v>1111.03</v>
      </c>
      <c r="EJ52" s="2">
        <v>789.88</v>
      </c>
      <c r="EK52" s="2">
        <v>128.16999999999999</v>
      </c>
      <c r="EL52" s="2">
        <v>367.99</v>
      </c>
      <c r="EM52" s="2">
        <v>10838.04</v>
      </c>
      <c r="EN52" s="2">
        <v>4428.7</v>
      </c>
      <c r="EO52" s="2">
        <v>1394.47</v>
      </c>
      <c r="EP52" s="1">
        <v>29598</v>
      </c>
      <c r="EQ52" s="1">
        <v>3534</v>
      </c>
      <c r="ER52" s="1">
        <v>653</v>
      </c>
      <c r="ES52" s="1">
        <v>5403</v>
      </c>
      <c r="ET52" s="1">
        <v>31528</v>
      </c>
      <c r="EU52" s="1">
        <v>56934</v>
      </c>
      <c r="EV52" s="1">
        <v>94212</v>
      </c>
      <c r="EW52" s="1">
        <v>5879</v>
      </c>
      <c r="EX52" s="1">
        <v>19503</v>
      </c>
      <c r="EY52" s="1">
        <v>3204</v>
      </c>
      <c r="EZ52" s="1">
        <v>250689</v>
      </c>
      <c r="FA52" s="1">
        <v>21822</v>
      </c>
      <c r="FB52" s="1">
        <v>161137</v>
      </c>
      <c r="FC52" s="1">
        <v>36150</v>
      </c>
      <c r="FD52" s="1">
        <v>23046</v>
      </c>
      <c r="FE52" s="1">
        <v>104456</v>
      </c>
      <c r="FF52" s="1">
        <v>4450</v>
      </c>
      <c r="FG52" s="1">
        <v>350703</v>
      </c>
      <c r="FH52" s="1">
        <v>56831</v>
      </c>
      <c r="FI52" s="1">
        <v>16071</v>
      </c>
      <c r="FJ52" s="1">
        <v>839</v>
      </c>
      <c r="FK52" s="1">
        <v>2468</v>
      </c>
      <c r="FL52" s="1">
        <v>6312</v>
      </c>
      <c r="FM52" s="1">
        <v>1184</v>
      </c>
      <c r="FN52" s="1">
        <v>84556</v>
      </c>
      <c r="FO52" s="1">
        <v>517471</v>
      </c>
      <c r="FP52" s="1">
        <v>74</v>
      </c>
      <c r="FQ52" s="1">
        <v>57</v>
      </c>
      <c r="FR52" s="1">
        <v>56</v>
      </c>
      <c r="FS52" s="1">
        <v>80</v>
      </c>
      <c r="FT52" s="1">
        <v>30</v>
      </c>
      <c r="FU52" s="1">
        <v>65</v>
      </c>
      <c r="FV52" s="1">
        <v>77</v>
      </c>
      <c r="FW52" s="1">
        <v>84</v>
      </c>
      <c r="FX52" s="1">
        <v>78</v>
      </c>
      <c r="FY52" s="1">
        <v>51</v>
      </c>
      <c r="FZ52" s="3">
        <v>-0.47299999999999998</v>
      </c>
      <c r="GA52" s="3">
        <v>0.52800000000000002</v>
      </c>
      <c r="GB52" s="3">
        <v>-0.105</v>
      </c>
      <c r="GC52" s="3">
        <v>-0.432</v>
      </c>
      <c r="GD52" s="3">
        <v>7.0000000000000001E-3</v>
      </c>
      <c r="GE52" s="3">
        <v>0.38400000000000001</v>
      </c>
      <c r="GF52" s="3">
        <v>-0.20200000000000001</v>
      </c>
      <c r="GG52" s="3">
        <v>0.183</v>
      </c>
      <c r="GH52" s="3">
        <v>0.66200000000000003</v>
      </c>
      <c r="GI52" s="3">
        <v>-7.3999999999999996E-2</v>
      </c>
      <c r="GJ52" s="3">
        <v>-0.21299999999999999</v>
      </c>
      <c r="GK52" s="3">
        <v>-0.223</v>
      </c>
      <c r="GL52" s="3">
        <v>0.70499999999999996</v>
      </c>
      <c r="GM52" s="3">
        <v>0.23300000000000001</v>
      </c>
      <c r="GN52" s="3">
        <v>0.38700000000000001</v>
      </c>
      <c r="GO52" s="3">
        <v>6.4000000000000001E-2</v>
      </c>
      <c r="GP52" s="3">
        <v>-0.13400000000000001</v>
      </c>
      <c r="GQ52" s="3">
        <v>-8.9999999999999993E-3</v>
      </c>
      <c r="GR52" s="3">
        <v>-0.10299999999999999</v>
      </c>
      <c r="GS52" s="3">
        <v>-0.02</v>
      </c>
      <c r="GT52" s="3">
        <v>2.1999999999999999E-2</v>
      </c>
      <c r="GU52" s="3">
        <v>-0.13400000000000001</v>
      </c>
      <c r="GV52" s="3">
        <v>-0.154</v>
      </c>
      <c r="GW52" s="3">
        <v>0.14000000000000001</v>
      </c>
      <c r="GX52" s="3">
        <v>-0.22600000000000001</v>
      </c>
      <c r="GY52" s="3">
        <v>-3.5999999999999997E-2</v>
      </c>
      <c r="GZ52" s="4">
        <v>93</v>
      </c>
      <c r="HA52" s="4">
        <v>103</v>
      </c>
      <c r="HB52" s="4">
        <v>78</v>
      </c>
      <c r="HC52" s="4">
        <v>108</v>
      </c>
      <c r="HD52" s="4">
        <v>53</v>
      </c>
      <c r="HE52" s="4">
        <v>96</v>
      </c>
      <c r="HF52" s="1">
        <v>30686</v>
      </c>
      <c r="HG52" s="1">
        <v>20848</v>
      </c>
      <c r="HH52" s="1">
        <v>18470</v>
      </c>
      <c r="HI52" s="1">
        <v>16294</v>
      </c>
      <c r="HJ52" s="1">
        <v>13299</v>
      </c>
      <c r="HK52" s="1">
        <v>15081</v>
      </c>
      <c r="HL52" s="1">
        <v>10229</v>
      </c>
      <c r="HM52" s="1">
        <v>25946</v>
      </c>
      <c r="HN52" s="1">
        <v>30716</v>
      </c>
      <c r="HO52" s="1">
        <v>33765</v>
      </c>
      <c r="HP52" s="1">
        <v>43220</v>
      </c>
      <c r="HQ52" s="1">
        <v>53859</v>
      </c>
      <c r="HR52" s="1">
        <v>52411</v>
      </c>
      <c r="HS52" s="1">
        <v>154236</v>
      </c>
      <c r="HT52" s="1">
        <v>146817</v>
      </c>
      <c r="HU52" s="1">
        <v>187026</v>
      </c>
      <c r="HV52" s="1">
        <v>127375</v>
      </c>
      <c r="HW52" s="1">
        <v>200403</v>
      </c>
      <c r="HX52" s="1">
        <v>134804</v>
      </c>
      <c r="HY52" s="1">
        <v>120849</v>
      </c>
      <c r="HZ52" s="1">
        <v>45979</v>
      </c>
      <c r="IA52" s="1">
        <v>38360</v>
      </c>
      <c r="IB52" s="1">
        <v>10931</v>
      </c>
      <c r="IC52" s="1">
        <v>12867</v>
      </c>
      <c r="ID52" s="1">
        <v>164216</v>
      </c>
      <c r="IE52" s="1">
        <v>4036</v>
      </c>
      <c r="IF52" s="1">
        <v>5045</v>
      </c>
      <c r="IG52" s="1">
        <v>6153</v>
      </c>
      <c r="IH52" s="1">
        <v>8094</v>
      </c>
      <c r="II52" s="1">
        <v>8550</v>
      </c>
      <c r="IJ52" s="1">
        <v>14421</v>
      </c>
      <c r="IK52" s="1">
        <v>18367</v>
      </c>
      <c r="IL52" s="1">
        <v>26632</v>
      </c>
      <c r="IM52" s="1">
        <v>24986</v>
      </c>
      <c r="IN52" s="1">
        <v>32473</v>
      </c>
      <c r="IO52" s="1">
        <v>26304</v>
      </c>
      <c r="IP52" s="1">
        <v>28049</v>
      </c>
      <c r="IQ52" s="1">
        <v>23820</v>
      </c>
      <c r="IR52" s="1">
        <v>20212</v>
      </c>
      <c r="IS52" s="1">
        <v>18178</v>
      </c>
      <c r="IT52" s="1">
        <v>30760</v>
      </c>
      <c r="IU52" s="1">
        <v>19241</v>
      </c>
      <c r="IV52" s="1">
        <v>23870</v>
      </c>
      <c r="IW52">
        <v>7651</v>
      </c>
      <c r="IX52">
        <v>4952</v>
      </c>
      <c r="IY52">
        <v>2191</v>
      </c>
      <c r="IZ52">
        <v>43069</v>
      </c>
      <c r="JA52">
        <v>594</v>
      </c>
      <c r="JB52">
        <v>1297981</v>
      </c>
      <c r="JC52">
        <v>29941</v>
      </c>
      <c r="JD52">
        <v>3497</v>
      </c>
      <c r="JE52">
        <v>2696</v>
      </c>
      <c r="JF52">
        <v>2352</v>
      </c>
      <c r="JG52">
        <v>1233</v>
      </c>
      <c r="JH52">
        <v>718</v>
      </c>
      <c r="JI52">
        <v>1091</v>
      </c>
      <c r="JJ52">
        <v>275429</v>
      </c>
      <c r="JK52">
        <v>2802</v>
      </c>
      <c r="JL52">
        <v>163483</v>
      </c>
      <c r="JM52">
        <v>15163</v>
      </c>
      <c r="JN52">
        <v>22664</v>
      </c>
      <c r="JO52">
        <v>25237</v>
      </c>
      <c r="JP52">
        <v>25461</v>
      </c>
      <c r="JQ52">
        <v>17629</v>
      </c>
      <c r="JR52">
        <v>12183</v>
      </c>
      <c r="JS52">
        <v>8773</v>
      </c>
      <c r="JT52">
        <v>107101</v>
      </c>
      <c r="JU52">
        <v>967</v>
      </c>
      <c r="JV52">
        <v>252029</v>
      </c>
      <c r="JW52">
        <v>256810</v>
      </c>
      <c r="JX52">
        <v>438403</v>
      </c>
      <c r="JY52">
        <v>325602</v>
      </c>
      <c r="JZ52">
        <v>308047</v>
      </c>
      <c r="KA52">
        <v>148692</v>
      </c>
      <c r="KB52">
        <v>113234</v>
      </c>
      <c r="KC52">
        <v>54576</v>
      </c>
      <c r="KD52">
        <v>119008</v>
      </c>
      <c r="KE52">
        <v>42918</v>
      </c>
      <c r="KF52">
        <v>15636</v>
      </c>
      <c r="KG52">
        <v>214094</v>
      </c>
      <c r="KH52">
        <v>266136</v>
      </c>
      <c r="KI52">
        <v>70292</v>
      </c>
      <c r="KJ52">
        <v>306814</v>
      </c>
      <c r="KK52">
        <v>102516</v>
      </c>
      <c r="KL52">
        <v>30611</v>
      </c>
      <c r="KM52">
        <v>38582</v>
      </c>
      <c r="KN52">
        <v>99502</v>
      </c>
      <c r="KO52">
        <v>40021</v>
      </c>
      <c r="KP52">
        <v>112548</v>
      </c>
      <c r="KQ52">
        <v>1230</v>
      </c>
      <c r="KR52">
        <v>96029</v>
      </c>
      <c r="KS52">
        <v>230104</v>
      </c>
      <c r="KT52">
        <v>312155</v>
      </c>
      <c r="KU52">
        <v>43989</v>
      </c>
      <c r="KV52">
        <v>155109</v>
      </c>
      <c r="KW52">
        <v>122986</v>
      </c>
      <c r="KX52">
        <v>153612</v>
      </c>
      <c r="KY52">
        <v>1604230</v>
      </c>
      <c r="KZ52">
        <v>95732</v>
      </c>
      <c r="LA52">
        <v>164395</v>
      </c>
      <c r="LB52">
        <v>205061</v>
      </c>
      <c r="LC52">
        <v>141185</v>
      </c>
      <c r="LD52">
        <v>78291</v>
      </c>
      <c r="LE52">
        <v>162652</v>
      </c>
      <c r="LF52">
        <v>3338</v>
      </c>
      <c r="LG52">
        <v>1842700</v>
      </c>
      <c r="LH52">
        <v>19496</v>
      </c>
      <c r="LI52">
        <v>84318</v>
      </c>
      <c r="LJ52">
        <v>3098</v>
      </c>
      <c r="LK52">
        <v>41720</v>
      </c>
      <c r="LL52">
        <v>3267</v>
      </c>
      <c r="LM52">
        <v>15905</v>
      </c>
      <c r="LN52">
        <v>432</v>
      </c>
      <c r="LO52">
        <v>5465</v>
      </c>
      <c r="LP52">
        <v>65751.40625</v>
      </c>
      <c r="LQ52">
        <v>85.371830000000003</v>
      </c>
    </row>
    <row r="53" spans="1:329" x14ac:dyDescent="0.25">
      <c r="A53" s="5" t="s">
        <v>375</v>
      </c>
      <c r="B53" s="5" t="s">
        <v>308</v>
      </c>
      <c r="C53" s="1">
        <v>4211575</v>
      </c>
      <c r="D53" s="1">
        <v>4422680</v>
      </c>
      <c r="E53" s="1">
        <v>4462871</v>
      </c>
      <c r="F53" s="1">
        <v>4462091</v>
      </c>
      <c r="G53" s="1">
        <v>4540182</v>
      </c>
      <c r="H53" s="1">
        <v>1503231</v>
      </c>
      <c r="I53" s="1">
        <v>1628606</v>
      </c>
      <c r="J53" s="1">
        <v>1698677</v>
      </c>
      <c r="K53" s="1">
        <v>1774174</v>
      </c>
      <c r="L53" s="1">
        <v>1805963</v>
      </c>
      <c r="M53" s="1">
        <v>1986921</v>
      </c>
      <c r="N53" s="1">
        <v>1416178</v>
      </c>
      <c r="O53" s="1">
        <v>357996</v>
      </c>
      <c r="P53" s="1">
        <v>212747</v>
      </c>
      <c r="Q53" s="1">
        <v>250821</v>
      </c>
      <c r="R53" s="1">
        <v>72031</v>
      </c>
      <c r="S53" s="1">
        <v>1921</v>
      </c>
      <c r="T53" s="1">
        <v>3795131</v>
      </c>
      <c r="U53" s="1">
        <v>608602</v>
      </c>
      <c r="V53" s="1">
        <v>58358</v>
      </c>
      <c r="W53" s="1">
        <v>2132</v>
      </c>
      <c r="X53" s="1">
        <v>6673</v>
      </c>
      <c r="Y53" s="2">
        <v>40.29</v>
      </c>
      <c r="Z53" s="1">
        <v>275459</v>
      </c>
      <c r="AA53" s="1">
        <v>290846</v>
      </c>
      <c r="AB53" s="1">
        <v>312983</v>
      </c>
      <c r="AC53" s="1">
        <v>288455</v>
      </c>
      <c r="AD53" s="1">
        <v>236335</v>
      </c>
      <c r="AE53" s="1">
        <v>249804</v>
      </c>
      <c r="AF53" s="1">
        <v>248854</v>
      </c>
      <c r="AG53" s="1">
        <v>263375</v>
      </c>
      <c r="AH53" s="1">
        <v>251962</v>
      </c>
      <c r="AI53" s="1">
        <v>271534</v>
      </c>
      <c r="AJ53" s="1">
        <v>288221</v>
      </c>
      <c r="AK53" s="1">
        <v>329995</v>
      </c>
      <c r="AL53" s="1">
        <v>318199</v>
      </c>
      <c r="AM53" s="1">
        <v>277373</v>
      </c>
      <c r="AN53" s="1">
        <v>218996</v>
      </c>
      <c r="AO53" s="1">
        <v>151596</v>
      </c>
      <c r="AP53" s="1">
        <v>96470</v>
      </c>
      <c r="AQ53" s="1">
        <v>91635</v>
      </c>
      <c r="AR53" s="1">
        <v>2275118</v>
      </c>
      <c r="AS53" s="1">
        <v>2186973</v>
      </c>
      <c r="AT53" s="1">
        <v>3915948</v>
      </c>
      <c r="AU53" s="1">
        <v>91006</v>
      </c>
      <c r="AV53" s="1">
        <v>27588</v>
      </c>
      <c r="AW53" s="1">
        <v>35933</v>
      </c>
      <c r="AX53" s="1">
        <v>1947</v>
      </c>
      <c r="AY53" s="1">
        <v>3045</v>
      </c>
      <c r="AZ53" s="1">
        <v>68905</v>
      </c>
      <c r="BA53" s="1">
        <v>318036</v>
      </c>
      <c r="BB53" s="1">
        <v>3582803</v>
      </c>
      <c r="BC53" s="1">
        <v>851077</v>
      </c>
      <c r="BD53" s="1">
        <v>2055455</v>
      </c>
      <c r="BE53" s="1">
        <v>106935</v>
      </c>
      <c r="BF53" s="1">
        <v>213884</v>
      </c>
      <c r="BG53" s="1">
        <v>355452</v>
      </c>
      <c r="BH53" s="1">
        <v>3058014</v>
      </c>
      <c r="BI53" s="1">
        <v>155079</v>
      </c>
      <c r="BJ53" s="1">
        <v>203903</v>
      </c>
      <c r="BK53" s="1">
        <v>1105241</v>
      </c>
      <c r="BL53" s="1">
        <v>662105</v>
      </c>
      <c r="BM53" s="1">
        <v>315836</v>
      </c>
      <c r="BN53" s="1">
        <v>426105</v>
      </c>
      <c r="BO53" s="1">
        <v>189745</v>
      </c>
      <c r="BP53" s="1">
        <v>3523736</v>
      </c>
      <c r="BQ53" s="1">
        <v>6956</v>
      </c>
      <c r="BR53" s="1">
        <v>2140493</v>
      </c>
      <c r="BS53" s="1">
        <v>54788</v>
      </c>
      <c r="BT53" s="1">
        <v>1321499</v>
      </c>
      <c r="BU53" s="1">
        <v>1265863</v>
      </c>
      <c r="BV53" s="1">
        <v>508311</v>
      </c>
      <c r="BW53" s="1">
        <v>402615</v>
      </c>
      <c r="BX53" s="1">
        <v>46907</v>
      </c>
      <c r="BY53" s="1">
        <v>81330</v>
      </c>
      <c r="BZ53" s="1">
        <v>657658</v>
      </c>
      <c r="CA53" s="1">
        <v>29679</v>
      </c>
      <c r="CB53" s="1">
        <v>46630</v>
      </c>
      <c r="CC53" s="2">
        <v>2.48</v>
      </c>
      <c r="CD53" s="1">
        <v>436665</v>
      </c>
      <c r="CE53" s="1">
        <v>705817</v>
      </c>
      <c r="CF53" s="1">
        <v>241636</v>
      </c>
      <c r="CG53" s="1">
        <v>207399</v>
      </c>
      <c r="CH53" s="1">
        <v>105490</v>
      </c>
      <c r="CI53" s="1">
        <v>43143</v>
      </c>
      <c r="CJ53" s="1">
        <v>34024</v>
      </c>
      <c r="CK53" s="2">
        <v>54.67</v>
      </c>
      <c r="CL53" s="1">
        <v>70588</v>
      </c>
      <c r="CM53" s="1">
        <v>227154</v>
      </c>
      <c r="CN53" s="1">
        <v>264583</v>
      </c>
      <c r="CO53" s="1">
        <v>300171</v>
      </c>
      <c r="CP53" s="1">
        <v>368753</v>
      </c>
      <c r="CQ53" s="1">
        <v>303700</v>
      </c>
      <c r="CR53" s="1">
        <v>171589</v>
      </c>
      <c r="CS53" s="1">
        <v>67636</v>
      </c>
      <c r="CT53" s="1">
        <v>79331</v>
      </c>
      <c r="CU53" s="1">
        <v>391084</v>
      </c>
      <c r="CV53" s="1">
        <v>1303758</v>
      </c>
      <c r="CW53" s="1">
        <v>30106</v>
      </c>
      <c r="CX53" s="1">
        <v>60465</v>
      </c>
      <c r="CY53" s="1">
        <v>72183</v>
      </c>
      <c r="CZ53" s="1">
        <v>74111</v>
      </c>
      <c r="DA53" s="1">
        <v>63545</v>
      </c>
      <c r="DB53" s="1">
        <v>76402</v>
      </c>
      <c r="DC53" s="1">
        <v>86559</v>
      </c>
      <c r="DD53" s="1">
        <v>80227</v>
      </c>
      <c r="DE53" s="1">
        <v>83083</v>
      </c>
      <c r="DF53" s="1">
        <v>84376</v>
      </c>
      <c r="DG53" s="1">
        <v>87703</v>
      </c>
      <c r="DH53" s="1">
        <v>83157</v>
      </c>
      <c r="DI53" s="1">
        <v>161227</v>
      </c>
      <c r="DJ53" s="1">
        <v>215324</v>
      </c>
      <c r="DK53" s="1">
        <v>278569</v>
      </c>
      <c r="DL53" s="1">
        <v>147219</v>
      </c>
      <c r="DM53" s="1">
        <v>103402</v>
      </c>
      <c r="DN53" s="1">
        <v>87557</v>
      </c>
      <c r="DO53" s="1">
        <v>61712</v>
      </c>
      <c r="DP53" s="1">
        <v>44623</v>
      </c>
      <c r="DQ53" s="1">
        <v>61263</v>
      </c>
      <c r="DR53" s="1">
        <v>69005</v>
      </c>
      <c r="DS53" s="1">
        <v>74853</v>
      </c>
      <c r="DT53" s="1">
        <v>67231</v>
      </c>
      <c r="DU53" s="1">
        <v>55637</v>
      </c>
      <c r="DV53" s="1">
        <v>42100</v>
      </c>
      <c r="DW53" s="2">
        <v>57793.62</v>
      </c>
      <c r="DX53" s="2">
        <v>27425.58</v>
      </c>
      <c r="DY53" s="2">
        <v>1848.05</v>
      </c>
      <c r="DZ53" s="2">
        <v>400.1</v>
      </c>
      <c r="EA53" s="2">
        <v>2001.62</v>
      </c>
      <c r="EB53" s="2">
        <v>1581.97</v>
      </c>
      <c r="EC53" s="2">
        <v>3243.91</v>
      </c>
      <c r="ED53" s="2">
        <v>8558.83</v>
      </c>
      <c r="EE53" s="2">
        <v>5035.17</v>
      </c>
      <c r="EF53" s="2">
        <v>2019.99</v>
      </c>
      <c r="EG53" s="2">
        <v>12115.95</v>
      </c>
      <c r="EH53" s="2">
        <v>2249.96</v>
      </c>
      <c r="EI53" s="2">
        <v>1090.47</v>
      </c>
      <c r="EJ53" s="2">
        <v>774.53</v>
      </c>
      <c r="EK53" s="2">
        <v>126.31</v>
      </c>
      <c r="EL53" s="2">
        <v>368.98</v>
      </c>
      <c r="EM53" s="2">
        <v>10627.02</v>
      </c>
      <c r="EN53" s="2">
        <v>4388.28</v>
      </c>
      <c r="EO53" s="2">
        <v>1362.48</v>
      </c>
      <c r="EP53" s="1">
        <v>28584</v>
      </c>
      <c r="EQ53" s="1">
        <v>4354</v>
      </c>
      <c r="ER53" s="1">
        <v>615</v>
      </c>
      <c r="ES53" s="1">
        <v>5786</v>
      </c>
      <c r="ET53" s="1">
        <v>23559</v>
      </c>
      <c r="EU53" s="1">
        <v>44609</v>
      </c>
      <c r="EV53" s="1">
        <v>89671</v>
      </c>
      <c r="EW53" s="1">
        <v>6520</v>
      </c>
      <c r="EX53" s="1">
        <v>17056</v>
      </c>
      <c r="EY53" s="1">
        <v>3115</v>
      </c>
      <c r="EZ53" s="1">
        <v>222560</v>
      </c>
      <c r="FA53" s="1">
        <v>19971</v>
      </c>
      <c r="FB53" s="1">
        <v>124723</v>
      </c>
      <c r="FC53" s="1">
        <v>31546</v>
      </c>
      <c r="FD53" s="1">
        <v>23505</v>
      </c>
      <c r="FE53" s="1">
        <v>102081</v>
      </c>
      <c r="FF53" s="1">
        <v>3189</v>
      </c>
      <c r="FG53" s="1">
        <v>326412</v>
      </c>
      <c r="FH53" s="1">
        <v>44586</v>
      </c>
      <c r="FI53" s="1">
        <v>14746</v>
      </c>
      <c r="FJ53" s="1">
        <v>552</v>
      </c>
      <c r="FK53" s="1">
        <v>2396</v>
      </c>
      <c r="FL53" s="1">
        <v>5504</v>
      </c>
      <c r="FM53" s="1">
        <v>955</v>
      </c>
      <c r="FN53" s="1">
        <v>75235</v>
      </c>
      <c r="FO53" s="1">
        <v>474245</v>
      </c>
      <c r="FP53" s="1">
        <v>54</v>
      </c>
      <c r="FQ53" s="1">
        <v>73</v>
      </c>
      <c r="FR53" s="1">
        <v>45</v>
      </c>
      <c r="FS53" s="1">
        <v>163</v>
      </c>
      <c r="FT53" s="1">
        <v>14</v>
      </c>
      <c r="FU53" s="1">
        <v>85</v>
      </c>
      <c r="FV53" s="1">
        <v>51</v>
      </c>
      <c r="FW53" s="1">
        <v>51</v>
      </c>
      <c r="FX53" s="1">
        <v>53</v>
      </c>
      <c r="FY53" s="1">
        <v>33</v>
      </c>
      <c r="FZ53" s="3">
        <v>-0.73499999999999999</v>
      </c>
      <c r="GA53" s="3">
        <v>0.60399999999999998</v>
      </c>
      <c r="GB53" s="3">
        <v>0.15</v>
      </c>
      <c r="GC53" s="3">
        <v>-0.48299999999999998</v>
      </c>
      <c r="GD53" s="3">
        <v>-0.13400000000000001</v>
      </c>
      <c r="GE53" s="3">
        <v>0.68899999999999995</v>
      </c>
      <c r="GF53" s="3">
        <v>-0.09</v>
      </c>
      <c r="GG53" s="3">
        <v>-0.14199999999999999</v>
      </c>
      <c r="GH53" s="3">
        <v>-0.375</v>
      </c>
      <c r="GI53" s="3">
        <v>-6.2E-2</v>
      </c>
      <c r="GJ53" s="3">
        <v>-0.27300000000000002</v>
      </c>
      <c r="GK53" s="3">
        <v>-0.13500000000000001</v>
      </c>
      <c r="GL53" s="3">
        <v>2.5000000000000001E-2</v>
      </c>
      <c r="GM53" s="3">
        <v>1.2689999999999999</v>
      </c>
      <c r="GN53" s="3">
        <v>0.23899999999999999</v>
      </c>
      <c r="GO53" s="3">
        <v>-4.3999999999999997E-2</v>
      </c>
      <c r="GP53" s="3">
        <v>0.10100000000000001</v>
      </c>
      <c r="GQ53" s="3">
        <v>-0.35399999999999998</v>
      </c>
      <c r="GR53" s="3">
        <v>-0.218</v>
      </c>
      <c r="GS53" s="3">
        <v>0.46400000000000002</v>
      </c>
      <c r="GT53" s="3">
        <v>0.17399999999999999</v>
      </c>
      <c r="GU53" s="3">
        <v>0.18099999999999999</v>
      </c>
      <c r="GV53" s="3">
        <v>1.5469999999999999</v>
      </c>
      <c r="GW53" s="3">
        <v>-0.49199999999999999</v>
      </c>
      <c r="GX53" s="3">
        <v>0.245</v>
      </c>
      <c r="GY53" s="3">
        <v>0.21099999999999999</v>
      </c>
      <c r="GZ53" s="4">
        <v>89</v>
      </c>
      <c r="HA53" s="4">
        <v>96</v>
      </c>
      <c r="HB53" s="4">
        <v>67</v>
      </c>
      <c r="HC53" s="4">
        <v>127</v>
      </c>
      <c r="HD53" s="4">
        <v>32</v>
      </c>
      <c r="HE53" s="4">
        <v>102</v>
      </c>
      <c r="HF53" s="1">
        <v>30911</v>
      </c>
      <c r="HG53" s="1">
        <v>22804</v>
      </c>
      <c r="HH53" s="1">
        <v>22015</v>
      </c>
      <c r="HI53" s="1">
        <v>23936</v>
      </c>
      <c r="HJ53" s="1">
        <v>21463</v>
      </c>
      <c r="HK53" s="1">
        <v>25839</v>
      </c>
      <c r="HL53" s="1">
        <v>17779</v>
      </c>
      <c r="HM53" s="1">
        <v>47327</v>
      </c>
      <c r="HN53" s="1">
        <v>56099</v>
      </c>
      <c r="HO53" s="1">
        <v>57080</v>
      </c>
      <c r="HP53" s="1">
        <v>66894</v>
      </c>
      <c r="HQ53" s="1">
        <v>76539</v>
      </c>
      <c r="HR53" s="1">
        <v>60217</v>
      </c>
      <c r="HS53" s="1">
        <v>155345</v>
      </c>
      <c r="HT53" s="1">
        <v>111236</v>
      </c>
      <c r="HU53" s="1">
        <v>136863</v>
      </c>
      <c r="HV53" s="1">
        <v>76676</v>
      </c>
      <c r="HW53" s="1">
        <v>121676</v>
      </c>
      <c r="HX53" s="1">
        <v>76670</v>
      </c>
      <c r="HY53" s="1">
        <v>71084</v>
      </c>
      <c r="HZ53" s="1">
        <v>28520</v>
      </c>
      <c r="IA53" s="1">
        <v>27560</v>
      </c>
      <c r="IB53" s="1">
        <v>8805</v>
      </c>
      <c r="IC53" s="1">
        <v>11560</v>
      </c>
      <c r="ID53" s="1">
        <v>123905</v>
      </c>
      <c r="IE53" s="1">
        <v>4884</v>
      </c>
      <c r="IF53" s="1">
        <v>7247</v>
      </c>
      <c r="IG53" s="1">
        <v>8812</v>
      </c>
      <c r="IH53" s="1">
        <v>14226</v>
      </c>
      <c r="II53" s="1">
        <v>15392</v>
      </c>
      <c r="IJ53" s="1">
        <v>22701</v>
      </c>
      <c r="IK53" s="1">
        <v>22571</v>
      </c>
      <c r="IL53" s="1">
        <v>26414</v>
      </c>
      <c r="IM53" s="1">
        <v>21524</v>
      </c>
      <c r="IN53" s="1">
        <v>23789</v>
      </c>
      <c r="IO53" s="1">
        <v>16362</v>
      </c>
      <c r="IP53" s="1">
        <v>16404</v>
      </c>
      <c r="IQ53" s="1">
        <v>12201</v>
      </c>
      <c r="IR53" s="1">
        <v>9777</v>
      </c>
      <c r="IS53" s="1">
        <v>8314</v>
      </c>
      <c r="IT53" s="1">
        <v>12642</v>
      </c>
      <c r="IU53" s="1">
        <v>7243</v>
      </c>
      <c r="IV53" s="1">
        <v>10025</v>
      </c>
      <c r="IW53">
        <v>2440</v>
      </c>
      <c r="IX53">
        <v>2164</v>
      </c>
      <c r="IY53">
        <v>1362</v>
      </c>
      <c r="IZ53">
        <v>76198</v>
      </c>
      <c r="JA53">
        <v>443</v>
      </c>
      <c r="JB53">
        <v>1084486</v>
      </c>
      <c r="JC53">
        <v>16124</v>
      </c>
      <c r="JD53">
        <v>3058</v>
      </c>
      <c r="JE53">
        <v>1393</v>
      </c>
      <c r="JF53">
        <v>1017</v>
      </c>
      <c r="JG53">
        <v>690</v>
      </c>
      <c r="JH53">
        <v>704</v>
      </c>
      <c r="JI53">
        <v>750</v>
      </c>
      <c r="JJ53">
        <v>105817</v>
      </c>
      <c r="JK53">
        <v>1425</v>
      </c>
      <c r="JL53">
        <v>191903</v>
      </c>
      <c r="JM53">
        <v>7426</v>
      </c>
      <c r="JN53">
        <v>10484</v>
      </c>
      <c r="JO53">
        <v>14462</v>
      </c>
      <c r="JP53">
        <v>11110</v>
      </c>
      <c r="JQ53">
        <v>7297</v>
      </c>
      <c r="JR53">
        <v>5035</v>
      </c>
      <c r="JS53">
        <v>3646</v>
      </c>
      <c r="JT53">
        <v>32246</v>
      </c>
      <c r="JU53">
        <v>418</v>
      </c>
      <c r="JV53">
        <v>72086</v>
      </c>
      <c r="JW53">
        <v>94500</v>
      </c>
      <c r="JX53">
        <v>185948</v>
      </c>
      <c r="JY53">
        <v>152303</v>
      </c>
      <c r="JZ53">
        <v>233539</v>
      </c>
      <c r="KA53">
        <v>136027</v>
      </c>
      <c r="KB53">
        <v>142592</v>
      </c>
      <c r="KC53">
        <v>90595</v>
      </c>
      <c r="KD53">
        <v>391901</v>
      </c>
      <c r="KE53">
        <v>309784</v>
      </c>
      <c r="KF53">
        <v>12726</v>
      </c>
      <c r="KG53">
        <v>131401</v>
      </c>
      <c r="KH53">
        <v>237750</v>
      </c>
      <c r="KI53">
        <v>52002</v>
      </c>
      <c r="KJ53">
        <v>182728</v>
      </c>
      <c r="KK53">
        <v>83659</v>
      </c>
      <c r="KL53">
        <v>19557</v>
      </c>
      <c r="KM53">
        <v>21914</v>
      </c>
      <c r="KN53">
        <v>61488</v>
      </c>
      <c r="KO53">
        <v>13799</v>
      </c>
      <c r="KP53">
        <v>48692</v>
      </c>
      <c r="KQ53">
        <v>573</v>
      </c>
      <c r="KR53">
        <v>42255</v>
      </c>
      <c r="KS53">
        <v>153525</v>
      </c>
      <c r="KT53">
        <v>222465</v>
      </c>
      <c r="KU53">
        <v>20623</v>
      </c>
      <c r="KV53">
        <v>78215</v>
      </c>
      <c r="KW53">
        <v>81831</v>
      </c>
      <c r="KX53">
        <v>72619</v>
      </c>
      <c r="KY53">
        <v>1079726</v>
      </c>
      <c r="KZ53">
        <v>93302</v>
      </c>
      <c r="LA53">
        <v>129116</v>
      </c>
      <c r="LB53">
        <v>142227</v>
      </c>
      <c r="LC53">
        <v>79691</v>
      </c>
      <c r="LD53">
        <v>39873</v>
      </c>
      <c r="LE53">
        <v>274324</v>
      </c>
      <c r="LF53">
        <v>9347</v>
      </c>
      <c r="LG53">
        <v>1368520</v>
      </c>
      <c r="LH53">
        <v>13109</v>
      </c>
      <c r="LI53">
        <v>49433</v>
      </c>
      <c r="LJ53">
        <v>8717</v>
      </c>
      <c r="LK53">
        <v>50687</v>
      </c>
      <c r="LL53">
        <v>1187</v>
      </c>
      <c r="LM53">
        <v>4406</v>
      </c>
      <c r="LN53">
        <v>497</v>
      </c>
      <c r="LO53">
        <v>2935</v>
      </c>
      <c r="LP53">
        <v>678824.375</v>
      </c>
      <c r="LQ53">
        <v>5.8924599999999998</v>
      </c>
    </row>
    <row r="54" spans="1:329" x14ac:dyDescent="0.25">
      <c r="A54" s="5" t="s">
        <v>376</v>
      </c>
      <c r="B54" s="5" t="s">
        <v>309</v>
      </c>
      <c r="C54" s="1">
        <v>4915045</v>
      </c>
      <c r="D54" s="1">
        <v>5925573</v>
      </c>
      <c r="E54" s="1">
        <v>6582373</v>
      </c>
      <c r="F54" s="1">
        <v>6756960</v>
      </c>
      <c r="G54" s="1">
        <v>6993794</v>
      </c>
      <c r="H54" s="1">
        <v>1771441</v>
      </c>
      <c r="I54" s="1">
        <v>2221336</v>
      </c>
      <c r="J54" s="1">
        <v>2509515</v>
      </c>
      <c r="K54" s="1">
        <v>2705476</v>
      </c>
      <c r="L54" s="1">
        <v>2780175</v>
      </c>
      <c r="M54" s="1">
        <v>2935259</v>
      </c>
      <c r="N54" s="1">
        <v>2164841</v>
      </c>
      <c r="O54" s="1">
        <v>540635</v>
      </c>
      <c r="P54" s="1">
        <v>229783</v>
      </c>
      <c r="Q54" s="1">
        <v>293557</v>
      </c>
      <c r="R54" s="1">
        <v>55118</v>
      </c>
      <c r="S54" s="1">
        <v>992</v>
      </c>
      <c r="T54" s="1">
        <v>5816702</v>
      </c>
      <c r="U54" s="1">
        <v>901119</v>
      </c>
      <c r="V54" s="1">
        <v>39139</v>
      </c>
      <c r="W54" s="1">
        <v>4723</v>
      </c>
      <c r="X54" s="1">
        <v>173</v>
      </c>
      <c r="Y54" s="2">
        <v>39.69</v>
      </c>
      <c r="Z54" s="1">
        <v>396758</v>
      </c>
      <c r="AA54" s="1">
        <v>422985</v>
      </c>
      <c r="AB54" s="1">
        <v>459241</v>
      </c>
      <c r="AC54" s="1">
        <v>430090</v>
      </c>
      <c r="AD54" s="1">
        <v>367053</v>
      </c>
      <c r="AE54" s="1">
        <v>415897</v>
      </c>
      <c r="AF54" s="1">
        <v>405920</v>
      </c>
      <c r="AG54" s="1">
        <v>423896</v>
      </c>
      <c r="AH54" s="1">
        <v>412332</v>
      </c>
      <c r="AI54" s="1">
        <v>453191</v>
      </c>
      <c r="AJ54" s="1">
        <v>461486</v>
      </c>
      <c r="AK54" s="1">
        <v>491218</v>
      </c>
      <c r="AL54" s="1">
        <v>462376</v>
      </c>
      <c r="AM54" s="1">
        <v>398598</v>
      </c>
      <c r="AN54" s="1">
        <v>319879</v>
      </c>
      <c r="AO54" s="1">
        <v>211830</v>
      </c>
      <c r="AP54" s="1">
        <v>123817</v>
      </c>
      <c r="AQ54" s="1">
        <v>100393</v>
      </c>
      <c r="AR54" s="1">
        <v>3362769</v>
      </c>
      <c r="AS54" s="1">
        <v>3394191</v>
      </c>
      <c r="AT54" s="1">
        <v>5669881</v>
      </c>
      <c r="AU54" s="1">
        <v>458988</v>
      </c>
      <c r="AV54" s="1">
        <v>51786</v>
      </c>
      <c r="AW54" s="1">
        <v>60203</v>
      </c>
      <c r="AX54" s="1">
        <v>2409</v>
      </c>
      <c r="AY54" s="1">
        <v>4418</v>
      </c>
      <c r="AZ54" s="1">
        <v>134034</v>
      </c>
      <c r="BA54" s="1">
        <v>375736</v>
      </c>
      <c r="BB54" s="1">
        <v>5477977</v>
      </c>
      <c r="BC54" s="1">
        <v>1332063</v>
      </c>
      <c r="BD54" s="1">
        <v>2905130</v>
      </c>
      <c r="BE54" s="1">
        <v>220520</v>
      </c>
      <c r="BF54" s="1">
        <v>354837</v>
      </c>
      <c r="BG54" s="1">
        <v>665427</v>
      </c>
      <c r="BH54" s="1">
        <v>4680834</v>
      </c>
      <c r="BI54" s="1">
        <v>213232</v>
      </c>
      <c r="BJ54" s="1">
        <v>439459</v>
      </c>
      <c r="BK54" s="1">
        <v>1736229</v>
      </c>
      <c r="BL54" s="1">
        <v>1026896</v>
      </c>
      <c r="BM54" s="1">
        <v>430589</v>
      </c>
      <c r="BN54" s="1">
        <v>552360</v>
      </c>
      <c r="BO54" s="1">
        <v>282069</v>
      </c>
      <c r="BP54" s="1">
        <v>5392110</v>
      </c>
      <c r="BQ54" s="1">
        <v>12440</v>
      </c>
      <c r="BR54" s="1">
        <v>3092143</v>
      </c>
      <c r="BS54" s="1">
        <v>105001</v>
      </c>
      <c r="BT54" s="1">
        <v>2182526</v>
      </c>
      <c r="BU54" s="1">
        <v>1945027</v>
      </c>
      <c r="BV54" s="1">
        <v>760449</v>
      </c>
      <c r="BW54" s="1">
        <v>602211</v>
      </c>
      <c r="BX54" s="1">
        <v>81270</v>
      </c>
      <c r="BY54" s="1">
        <v>184392</v>
      </c>
      <c r="BZ54" s="1">
        <v>917443</v>
      </c>
      <c r="CA54" s="1">
        <v>53086</v>
      </c>
      <c r="CB54" s="1">
        <v>105826</v>
      </c>
      <c r="CC54" s="2">
        <v>2.48</v>
      </c>
      <c r="CD54" s="1">
        <v>647987</v>
      </c>
      <c r="CE54" s="1">
        <v>1032066</v>
      </c>
      <c r="CF54" s="1">
        <v>431995</v>
      </c>
      <c r="CG54" s="1">
        <v>348073</v>
      </c>
      <c r="CH54" s="1">
        <v>155139</v>
      </c>
      <c r="CI54" s="1">
        <v>56257</v>
      </c>
      <c r="CJ54" s="1">
        <v>33959</v>
      </c>
      <c r="CK54" s="2">
        <v>53.1</v>
      </c>
      <c r="CL54" s="1">
        <v>100802</v>
      </c>
      <c r="CM54" s="1">
        <v>366971</v>
      </c>
      <c r="CN54" s="1">
        <v>430598</v>
      </c>
      <c r="CO54" s="1">
        <v>499456</v>
      </c>
      <c r="CP54" s="1">
        <v>551609</v>
      </c>
      <c r="CQ54" s="1">
        <v>452189</v>
      </c>
      <c r="CR54" s="1">
        <v>232543</v>
      </c>
      <c r="CS54" s="1">
        <v>71308</v>
      </c>
      <c r="CT54" s="1">
        <v>100714</v>
      </c>
      <c r="CU54" s="1">
        <v>690907</v>
      </c>
      <c r="CV54" s="1">
        <v>1913856</v>
      </c>
      <c r="CW54" s="1">
        <v>26710</v>
      </c>
      <c r="CX54" s="1">
        <v>55478</v>
      </c>
      <c r="CY54" s="1">
        <v>66583</v>
      </c>
      <c r="CZ54" s="1">
        <v>143719</v>
      </c>
      <c r="DA54" s="1">
        <v>121495</v>
      </c>
      <c r="DB54" s="1">
        <v>135369</v>
      </c>
      <c r="DC54" s="1">
        <v>149302</v>
      </c>
      <c r="DD54" s="1">
        <v>134208</v>
      </c>
      <c r="DE54" s="1">
        <v>134580</v>
      </c>
      <c r="DF54" s="1">
        <v>133621</v>
      </c>
      <c r="DG54" s="1">
        <v>137549</v>
      </c>
      <c r="DH54" s="1">
        <v>128960</v>
      </c>
      <c r="DI54" s="1">
        <v>244474</v>
      </c>
      <c r="DJ54" s="1">
        <v>315401</v>
      </c>
      <c r="DK54" s="1">
        <v>401011</v>
      </c>
      <c r="DL54" s="1">
        <v>200858</v>
      </c>
      <c r="DM54" s="1">
        <v>142924</v>
      </c>
      <c r="DN54" s="1">
        <v>114019</v>
      </c>
      <c r="DO54" s="1">
        <v>67988</v>
      </c>
      <c r="DP54" s="1">
        <v>39146</v>
      </c>
      <c r="DQ54" s="1">
        <v>56737</v>
      </c>
      <c r="DR54" s="1">
        <v>62759</v>
      </c>
      <c r="DS54" s="1">
        <v>68063</v>
      </c>
      <c r="DT54" s="1">
        <v>61491</v>
      </c>
      <c r="DU54" s="1">
        <v>49124</v>
      </c>
      <c r="DV54" s="1">
        <v>37137</v>
      </c>
      <c r="DW54" s="2">
        <v>53044.08</v>
      </c>
      <c r="DX54" s="2">
        <v>25178.05</v>
      </c>
      <c r="DY54" s="2">
        <v>1674.81</v>
      </c>
      <c r="DZ54" s="2">
        <v>362.61</v>
      </c>
      <c r="EA54" s="2">
        <v>1833.82</v>
      </c>
      <c r="EB54" s="2">
        <v>1434.29</v>
      </c>
      <c r="EC54" s="2">
        <v>2961.12</v>
      </c>
      <c r="ED54" s="2">
        <v>7879.48</v>
      </c>
      <c r="EE54" s="2">
        <v>4635.8500000000004</v>
      </c>
      <c r="EF54" s="2">
        <v>1844.01</v>
      </c>
      <c r="EG54" s="2">
        <v>11132.67</v>
      </c>
      <c r="EH54" s="2">
        <v>2059.9499999999998</v>
      </c>
      <c r="EI54" s="2">
        <v>999.3</v>
      </c>
      <c r="EJ54" s="2">
        <v>710.8</v>
      </c>
      <c r="EK54" s="2">
        <v>115.42</v>
      </c>
      <c r="EL54" s="2">
        <v>347.54</v>
      </c>
      <c r="EM54" s="2">
        <v>9750.49</v>
      </c>
      <c r="EN54" s="2">
        <v>4069.71</v>
      </c>
      <c r="EO54" s="2">
        <v>1232.21</v>
      </c>
      <c r="EP54" s="1">
        <v>22282</v>
      </c>
      <c r="EQ54" s="1">
        <v>2524</v>
      </c>
      <c r="ER54" s="1">
        <v>546</v>
      </c>
      <c r="ES54" s="1">
        <v>3273</v>
      </c>
      <c r="ET54" s="1">
        <v>21710</v>
      </c>
      <c r="EU54" s="1">
        <v>40289</v>
      </c>
      <c r="EV54" s="1">
        <v>70588</v>
      </c>
      <c r="EW54" s="1">
        <v>4859</v>
      </c>
      <c r="EX54" s="1">
        <v>14518</v>
      </c>
      <c r="EY54" s="1">
        <v>2372</v>
      </c>
      <c r="EZ54" s="1">
        <v>183717</v>
      </c>
      <c r="FA54" s="1">
        <v>19450</v>
      </c>
      <c r="FB54" s="1">
        <v>101965</v>
      </c>
      <c r="FC54" s="1">
        <v>24940</v>
      </c>
      <c r="FD54" s="1">
        <v>17345</v>
      </c>
      <c r="FE54" s="1">
        <v>71457</v>
      </c>
      <c r="FF54" s="1">
        <v>3613</v>
      </c>
      <c r="FG54" s="1">
        <v>261094</v>
      </c>
      <c r="FH54" s="1">
        <v>34816</v>
      </c>
      <c r="FI54" s="1">
        <v>15031</v>
      </c>
      <c r="FJ54" s="1">
        <v>644</v>
      </c>
      <c r="FK54" s="1">
        <v>2130</v>
      </c>
      <c r="FL54" s="1">
        <v>4013</v>
      </c>
      <c r="FM54" s="1">
        <v>982</v>
      </c>
      <c r="FN54" s="1">
        <v>66051</v>
      </c>
      <c r="FO54" s="1">
        <v>379102</v>
      </c>
      <c r="FP54" s="1">
        <v>64</v>
      </c>
      <c r="FQ54" s="1">
        <v>57</v>
      </c>
      <c r="FR54" s="1">
        <v>60</v>
      </c>
      <c r="FS54" s="1">
        <v>79</v>
      </c>
      <c r="FT54" s="1">
        <v>25</v>
      </c>
      <c r="FU54" s="1">
        <v>67</v>
      </c>
      <c r="FV54" s="1">
        <v>65</v>
      </c>
      <c r="FW54" s="1">
        <v>84</v>
      </c>
      <c r="FX54" s="1">
        <v>62</v>
      </c>
      <c r="FY54" s="1">
        <v>47</v>
      </c>
      <c r="FZ54" s="3">
        <v>-0.72499999999999998</v>
      </c>
      <c r="GA54" s="3">
        <v>0.54500000000000004</v>
      </c>
      <c r="GB54" s="3">
        <v>4.5999999999999999E-2</v>
      </c>
      <c r="GC54" s="3">
        <v>-0.59</v>
      </c>
      <c r="GD54" s="3">
        <v>-0.70899999999999996</v>
      </c>
      <c r="GE54" s="3">
        <v>0.49299999999999999</v>
      </c>
      <c r="GF54" s="3">
        <v>-0.224</v>
      </c>
      <c r="GG54" s="3">
        <v>7.2999999999999995E-2</v>
      </c>
      <c r="GH54" s="3">
        <v>0.76100000000000001</v>
      </c>
      <c r="GI54" s="3">
        <v>-2.1999999999999999E-2</v>
      </c>
      <c r="GJ54" s="3">
        <v>-0.104</v>
      </c>
      <c r="GK54" s="3">
        <v>-0.25900000000000001</v>
      </c>
      <c r="GL54" s="3">
        <v>0.32600000000000001</v>
      </c>
      <c r="GM54" s="3">
        <v>0.10199999999999999</v>
      </c>
      <c r="GN54" s="3">
        <v>0.58899999999999997</v>
      </c>
      <c r="GO54" s="3">
        <v>7.6999999999999999E-2</v>
      </c>
      <c r="GP54" s="3">
        <v>-4.8000000000000001E-2</v>
      </c>
      <c r="GQ54" s="3">
        <v>-0.14799999999999999</v>
      </c>
      <c r="GR54" s="3">
        <v>-0.221</v>
      </c>
      <c r="GS54" s="3">
        <v>0.14000000000000001</v>
      </c>
      <c r="GT54" s="3">
        <v>-6.0000000000000001E-3</v>
      </c>
      <c r="GU54" s="3">
        <v>-7.0000000000000007E-2</v>
      </c>
      <c r="GV54" s="3">
        <v>-7.2999999999999995E-2</v>
      </c>
      <c r="GW54" s="3">
        <v>-8.1000000000000003E-2</v>
      </c>
      <c r="GX54" s="3">
        <v>-0.191</v>
      </c>
      <c r="GY54" s="3">
        <v>-3.5999999999999997E-2</v>
      </c>
      <c r="GZ54" s="4">
        <v>86</v>
      </c>
      <c r="HA54" s="4">
        <v>98</v>
      </c>
      <c r="HB54" s="4">
        <v>61</v>
      </c>
      <c r="HC54" s="4">
        <v>107</v>
      </c>
      <c r="HD54" s="4">
        <v>41</v>
      </c>
      <c r="HE54" s="4">
        <v>94</v>
      </c>
      <c r="HF54" s="1">
        <v>57050</v>
      </c>
      <c r="HG54" s="1">
        <v>39218</v>
      </c>
      <c r="HH54" s="1">
        <v>33754</v>
      </c>
      <c r="HI54" s="1">
        <v>33948</v>
      </c>
      <c r="HJ54" s="1">
        <v>30414</v>
      </c>
      <c r="HK54" s="1">
        <v>35565</v>
      </c>
      <c r="HL54" s="1">
        <v>23793</v>
      </c>
      <c r="HM54" s="1">
        <v>64146</v>
      </c>
      <c r="HN54" s="1">
        <v>76819</v>
      </c>
      <c r="HO54" s="1">
        <v>86174</v>
      </c>
      <c r="HP54" s="1">
        <v>106883</v>
      </c>
      <c r="HQ54" s="1">
        <v>125259</v>
      </c>
      <c r="HR54" s="1">
        <v>108677</v>
      </c>
      <c r="HS54" s="1">
        <v>259241</v>
      </c>
      <c r="HT54" s="1">
        <v>198396</v>
      </c>
      <c r="HU54" s="1">
        <v>207377</v>
      </c>
      <c r="HV54" s="1">
        <v>115214</v>
      </c>
      <c r="HW54" s="1">
        <v>148160</v>
      </c>
      <c r="HX54" s="1">
        <v>94653</v>
      </c>
      <c r="HY54" s="1">
        <v>82768</v>
      </c>
      <c r="HZ54" s="1">
        <v>29870</v>
      </c>
      <c r="IA54" s="1">
        <v>27963</v>
      </c>
      <c r="IB54" s="1">
        <v>7821</v>
      </c>
      <c r="IC54" s="1">
        <v>11598</v>
      </c>
      <c r="ID54" s="1">
        <v>117423</v>
      </c>
      <c r="IE54" s="1">
        <v>7577</v>
      </c>
      <c r="IF54" s="1">
        <v>9829</v>
      </c>
      <c r="IG54" s="1">
        <v>9882</v>
      </c>
      <c r="IH54" s="1">
        <v>16725</v>
      </c>
      <c r="II54" s="1">
        <v>21463</v>
      </c>
      <c r="IJ54" s="1">
        <v>35517</v>
      </c>
      <c r="IK54" s="1">
        <v>41618</v>
      </c>
      <c r="IL54" s="1">
        <v>50253</v>
      </c>
      <c r="IM54" s="1">
        <v>42365</v>
      </c>
      <c r="IN54" s="1">
        <v>40183</v>
      </c>
      <c r="IO54" s="1">
        <v>28753</v>
      </c>
      <c r="IP54" s="1">
        <v>27569</v>
      </c>
      <c r="IQ54" s="1">
        <v>21216</v>
      </c>
      <c r="IR54" s="1">
        <v>15327</v>
      </c>
      <c r="IS54" s="1">
        <v>12823</v>
      </c>
      <c r="IT54" s="1">
        <v>18461</v>
      </c>
      <c r="IU54" s="1">
        <v>10070</v>
      </c>
      <c r="IV54" s="1">
        <v>11985</v>
      </c>
      <c r="IW54">
        <v>3260</v>
      </c>
      <c r="IX54">
        <v>2361</v>
      </c>
      <c r="IY54">
        <v>1382</v>
      </c>
      <c r="IZ54">
        <v>92430</v>
      </c>
      <c r="JA54">
        <v>461</v>
      </c>
      <c r="JB54">
        <v>1903035</v>
      </c>
      <c r="JC54">
        <v>23442</v>
      </c>
      <c r="JD54">
        <v>3070</v>
      </c>
      <c r="JE54">
        <v>2750</v>
      </c>
      <c r="JF54">
        <v>2297</v>
      </c>
      <c r="JG54">
        <v>1018</v>
      </c>
      <c r="JH54">
        <v>451</v>
      </c>
      <c r="JI54">
        <v>1126</v>
      </c>
      <c r="JJ54">
        <v>476078</v>
      </c>
      <c r="JK54">
        <v>3447</v>
      </c>
      <c r="JL54">
        <v>269387</v>
      </c>
      <c r="JM54">
        <v>11063</v>
      </c>
      <c r="JN54">
        <v>29480</v>
      </c>
      <c r="JO54">
        <v>27124</v>
      </c>
      <c r="JP54">
        <v>30554</v>
      </c>
      <c r="JQ54">
        <v>18878</v>
      </c>
      <c r="JR54">
        <v>11355</v>
      </c>
      <c r="JS54">
        <v>8439</v>
      </c>
      <c r="JT54">
        <v>174153</v>
      </c>
      <c r="JU54">
        <v>1243</v>
      </c>
      <c r="JV54">
        <v>236822</v>
      </c>
      <c r="JW54">
        <v>314904</v>
      </c>
      <c r="JX54">
        <v>658864</v>
      </c>
      <c r="JY54">
        <v>507104</v>
      </c>
      <c r="JZ54">
        <v>497794</v>
      </c>
      <c r="KA54">
        <v>283947</v>
      </c>
      <c r="KB54">
        <v>205545</v>
      </c>
      <c r="KC54">
        <v>105630</v>
      </c>
      <c r="KD54">
        <v>187780</v>
      </c>
      <c r="KE54">
        <v>64027</v>
      </c>
      <c r="KF54">
        <v>17681</v>
      </c>
      <c r="KG54">
        <v>293277</v>
      </c>
      <c r="KH54">
        <v>534396</v>
      </c>
      <c r="KI54">
        <v>99777</v>
      </c>
      <c r="KJ54">
        <v>415393</v>
      </c>
      <c r="KK54">
        <v>156814</v>
      </c>
      <c r="KL54">
        <v>53144</v>
      </c>
      <c r="KM54">
        <v>50427</v>
      </c>
      <c r="KN54">
        <v>112294</v>
      </c>
      <c r="KO54">
        <v>43390</v>
      </c>
      <c r="KP54">
        <v>118119</v>
      </c>
      <c r="KQ54">
        <v>1402</v>
      </c>
      <c r="KR54">
        <v>123307</v>
      </c>
      <c r="KS54">
        <v>307674</v>
      </c>
      <c r="KT54">
        <v>435406</v>
      </c>
      <c r="KU54">
        <v>40593</v>
      </c>
      <c r="KV54">
        <v>189083</v>
      </c>
      <c r="KW54">
        <v>179026</v>
      </c>
      <c r="KX54">
        <v>182838</v>
      </c>
      <c r="KY54">
        <v>2281822</v>
      </c>
      <c r="KZ54">
        <v>104290</v>
      </c>
      <c r="LA54">
        <v>208809</v>
      </c>
      <c r="LB54">
        <v>278022</v>
      </c>
      <c r="LC54">
        <v>198277</v>
      </c>
      <c r="LD54">
        <v>91897</v>
      </c>
      <c r="LE54">
        <v>249295</v>
      </c>
      <c r="LF54">
        <v>5656</v>
      </c>
      <c r="LG54">
        <v>2836308</v>
      </c>
      <c r="LH54">
        <v>19999</v>
      </c>
      <c r="LI54">
        <v>83896</v>
      </c>
      <c r="LJ54">
        <v>2401</v>
      </c>
      <c r="LK54">
        <v>35061</v>
      </c>
      <c r="LL54">
        <v>2705</v>
      </c>
      <c r="LM54">
        <v>12590</v>
      </c>
      <c r="LN54">
        <v>308</v>
      </c>
      <c r="LO54">
        <v>5122</v>
      </c>
      <c r="LP54">
        <v>125148.67969</v>
      </c>
      <c r="LQ54">
        <v>63.065130000000003</v>
      </c>
    </row>
    <row r="55" spans="1:329" x14ac:dyDescent="0.25">
      <c r="A55" s="5" t="s">
        <v>377</v>
      </c>
      <c r="B55" s="5" t="s">
        <v>310</v>
      </c>
      <c r="C55" s="1">
        <v>4260628</v>
      </c>
      <c r="D55" s="1">
        <v>4992717</v>
      </c>
      <c r="E55" s="1">
        <v>5309099</v>
      </c>
      <c r="F55" s="1">
        <v>5422052</v>
      </c>
      <c r="G55" s="1">
        <v>5631934</v>
      </c>
      <c r="H55" s="1">
        <v>1620204</v>
      </c>
      <c r="I55" s="1">
        <v>1995779</v>
      </c>
      <c r="J55" s="1">
        <v>2210623</v>
      </c>
      <c r="K55" s="1">
        <v>2396708</v>
      </c>
      <c r="L55" s="1">
        <v>2463919</v>
      </c>
      <c r="M55" s="1">
        <v>3374013</v>
      </c>
      <c r="N55" s="1">
        <v>1930673</v>
      </c>
      <c r="O55" s="1">
        <v>466036</v>
      </c>
      <c r="P55" s="1">
        <v>977304</v>
      </c>
      <c r="Q55" s="1">
        <v>1105658</v>
      </c>
      <c r="R55" s="1">
        <v>822694</v>
      </c>
      <c r="S55" s="1">
        <v>1984</v>
      </c>
      <c r="T55" s="1">
        <v>4361998</v>
      </c>
      <c r="U55" s="1">
        <v>984872</v>
      </c>
      <c r="V55" s="1">
        <v>75182</v>
      </c>
      <c r="W55" s="1">
        <v>2947</v>
      </c>
      <c r="X55" s="1">
        <v>374</v>
      </c>
      <c r="Y55" s="2">
        <v>47.3</v>
      </c>
      <c r="Z55" s="1">
        <v>255977</v>
      </c>
      <c r="AA55" s="1">
        <v>272449</v>
      </c>
      <c r="AB55" s="1">
        <v>299838</v>
      </c>
      <c r="AC55" s="1">
        <v>288820</v>
      </c>
      <c r="AD55" s="1">
        <v>253739</v>
      </c>
      <c r="AE55" s="1">
        <v>276007</v>
      </c>
      <c r="AF55" s="1">
        <v>272128</v>
      </c>
      <c r="AG55" s="1">
        <v>287991</v>
      </c>
      <c r="AH55" s="1">
        <v>285418</v>
      </c>
      <c r="AI55" s="1">
        <v>331605</v>
      </c>
      <c r="AJ55" s="1">
        <v>374393</v>
      </c>
      <c r="AK55" s="1">
        <v>451471</v>
      </c>
      <c r="AL55" s="1">
        <v>471111</v>
      </c>
      <c r="AM55" s="1">
        <v>437760</v>
      </c>
      <c r="AN55" s="1">
        <v>358322</v>
      </c>
      <c r="AO55" s="1">
        <v>240054</v>
      </c>
      <c r="AP55" s="1">
        <v>143365</v>
      </c>
      <c r="AQ55" s="1">
        <v>121601</v>
      </c>
      <c r="AR55" s="1">
        <v>2745321</v>
      </c>
      <c r="AS55" s="1">
        <v>2676731</v>
      </c>
      <c r="AT55" s="1">
        <v>4692902</v>
      </c>
      <c r="AU55" s="1">
        <v>171696</v>
      </c>
      <c r="AV55" s="1">
        <v>43763</v>
      </c>
      <c r="AW55" s="1">
        <v>51345</v>
      </c>
      <c r="AX55" s="1">
        <v>2406</v>
      </c>
      <c r="AY55" s="1">
        <v>5043</v>
      </c>
      <c r="AZ55" s="1">
        <v>103424</v>
      </c>
      <c r="BA55" s="1">
        <v>351917</v>
      </c>
      <c r="BB55" s="1">
        <v>4593788</v>
      </c>
      <c r="BC55" s="1">
        <v>1064031</v>
      </c>
      <c r="BD55" s="1">
        <v>2465885</v>
      </c>
      <c r="BE55" s="1">
        <v>168744</v>
      </c>
      <c r="BF55" s="1">
        <v>319386</v>
      </c>
      <c r="BG55" s="1">
        <v>575742</v>
      </c>
      <c r="BH55" s="1">
        <v>4051227</v>
      </c>
      <c r="BI55" s="1">
        <v>134398</v>
      </c>
      <c r="BJ55" s="1">
        <v>292754</v>
      </c>
      <c r="BK55" s="1">
        <v>1397876</v>
      </c>
      <c r="BL55" s="1">
        <v>880552</v>
      </c>
      <c r="BM55" s="1">
        <v>387268</v>
      </c>
      <c r="BN55" s="1">
        <v>605131</v>
      </c>
      <c r="BO55" s="1">
        <v>353248</v>
      </c>
      <c r="BP55" s="1">
        <v>4535856</v>
      </c>
      <c r="BQ55" s="1">
        <v>5790</v>
      </c>
      <c r="BR55" s="1">
        <v>2415979</v>
      </c>
      <c r="BS55" s="1">
        <v>85521</v>
      </c>
      <c r="BT55" s="1">
        <v>2028566</v>
      </c>
      <c r="BU55" s="1">
        <v>1567294</v>
      </c>
      <c r="BV55" s="1">
        <v>829414</v>
      </c>
      <c r="BW55" s="1">
        <v>390230</v>
      </c>
      <c r="BX55" s="1">
        <v>60037</v>
      </c>
      <c r="BY55" s="1">
        <v>112702</v>
      </c>
      <c r="BZ55" s="1">
        <v>886391</v>
      </c>
      <c r="CA55" s="1">
        <v>42763</v>
      </c>
      <c r="CB55" s="1">
        <v>74171</v>
      </c>
      <c r="CC55" s="2">
        <v>2.23</v>
      </c>
      <c r="CD55" s="1">
        <v>697751</v>
      </c>
      <c r="CE55" s="1">
        <v>1024584</v>
      </c>
      <c r="CF55" s="1">
        <v>293504</v>
      </c>
      <c r="CG55" s="1">
        <v>223158</v>
      </c>
      <c r="CH55" s="1">
        <v>98526</v>
      </c>
      <c r="CI55" s="1">
        <v>36535</v>
      </c>
      <c r="CJ55" s="1">
        <v>22651</v>
      </c>
      <c r="CK55" s="2">
        <v>57.64</v>
      </c>
      <c r="CL55" s="1">
        <v>68411</v>
      </c>
      <c r="CM55" s="1">
        <v>243009</v>
      </c>
      <c r="CN55" s="1">
        <v>299734</v>
      </c>
      <c r="CO55" s="1">
        <v>390883</v>
      </c>
      <c r="CP55" s="1">
        <v>539727</v>
      </c>
      <c r="CQ55" s="1">
        <v>501593</v>
      </c>
      <c r="CR55" s="1">
        <v>266393</v>
      </c>
      <c r="CS55" s="1">
        <v>86957</v>
      </c>
      <c r="CT55" s="1">
        <v>96606</v>
      </c>
      <c r="CU55" s="1">
        <v>688978</v>
      </c>
      <c r="CV55" s="1">
        <v>1611126</v>
      </c>
      <c r="CW55" s="1">
        <v>31291</v>
      </c>
      <c r="CX55" s="1">
        <v>56583</v>
      </c>
      <c r="CY55" s="1">
        <v>69887</v>
      </c>
      <c r="CZ55" s="1">
        <v>124795</v>
      </c>
      <c r="DA55" s="1">
        <v>103865</v>
      </c>
      <c r="DB55" s="1">
        <v>118884</v>
      </c>
      <c r="DC55" s="1">
        <v>130143</v>
      </c>
      <c r="DD55" s="1">
        <v>119245</v>
      </c>
      <c r="DE55" s="1">
        <v>117682</v>
      </c>
      <c r="DF55" s="1">
        <v>115706</v>
      </c>
      <c r="DG55" s="1">
        <v>118685</v>
      </c>
      <c r="DH55" s="1">
        <v>110608</v>
      </c>
      <c r="DI55" s="1">
        <v>210718</v>
      </c>
      <c r="DJ55" s="1">
        <v>270879</v>
      </c>
      <c r="DK55" s="1">
        <v>341543</v>
      </c>
      <c r="DL55" s="1">
        <v>175964</v>
      </c>
      <c r="DM55" s="1">
        <v>128712</v>
      </c>
      <c r="DN55" s="1">
        <v>114830</v>
      </c>
      <c r="DO55" s="1">
        <v>94452</v>
      </c>
      <c r="DP55" s="1">
        <v>39767</v>
      </c>
      <c r="DQ55" s="1">
        <v>57941</v>
      </c>
      <c r="DR55" s="1">
        <v>65772</v>
      </c>
      <c r="DS55" s="1">
        <v>71060</v>
      </c>
      <c r="DT55" s="1">
        <v>64320</v>
      </c>
      <c r="DU55" s="1">
        <v>51999</v>
      </c>
      <c r="DV55" s="1">
        <v>38490</v>
      </c>
      <c r="DW55" s="2">
        <v>54961.55</v>
      </c>
      <c r="DX55" s="2">
        <v>26017.5</v>
      </c>
      <c r="DY55" s="2">
        <v>1781.78</v>
      </c>
      <c r="DZ55" s="2">
        <v>382.03</v>
      </c>
      <c r="EA55" s="2">
        <v>1893.75</v>
      </c>
      <c r="EB55" s="2">
        <v>1515.28</v>
      </c>
      <c r="EC55" s="2">
        <v>3082.19</v>
      </c>
      <c r="ED55" s="2">
        <v>8116.36</v>
      </c>
      <c r="EE55" s="2">
        <v>4815.67</v>
      </c>
      <c r="EF55" s="2">
        <v>1919.77</v>
      </c>
      <c r="EG55" s="2">
        <v>11519.42</v>
      </c>
      <c r="EH55" s="2">
        <v>2151.7199999999998</v>
      </c>
      <c r="EI55" s="2">
        <v>1041.52</v>
      </c>
      <c r="EJ55" s="2">
        <v>737.28</v>
      </c>
      <c r="EK55" s="2">
        <v>121.37</v>
      </c>
      <c r="EL55" s="2">
        <v>351.57</v>
      </c>
      <c r="EM55" s="2">
        <v>10043.93</v>
      </c>
      <c r="EN55" s="2">
        <v>4177.67</v>
      </c>
      <c r="EO55" s="2">
        <v>1310.24</v>
      </c>
      <c r="EP55" s="1">
        <v>30702</v>
      </c>
      <c r="EQ55" s="1">
        <v>4009</v>
      </c>
      <c r="ER55" s="1">
        <v>778</v>
      </c>
      <c r="ES55" s="1">
        <v>6052</v>
      </c>
      <c r="ET55" s="1">
        <v>30430</v>
      </c>
      <c r="EU55" s="1">
        <v>51903</v>
      </c>
      <c r="EV55" s="1">
        <v>93467</v>
      </c>
      <c r="EW55" s="1">
        <v>5940</v>
      </c>
      <c r="EX55" s="1">
        <v>18843</v>
      </c>
      <c r="EY55" s="1">
        <v>3032</v>
      </c>
      <c r="EZ55" s="1">
        <v>244417</v>
      </c>
      <c r="FA55" s="1">
        <v>19509</v>
      </c>
      <c r="FB55" s="1">
        <v>152580</v>
      </c>
      <c r="FC55" s="1">
        <v>35887</v>
      </c>
      <c r="FD55" s="1">
        <v>19980</v>
      </c>
      <c r="FE55" s="1">
        <v>96939</v>
      </c>
      <c r="FF55" s="1">
        <v>3885</v>
      </c>
      <c r="FG55" s="1">
        <v>335981</v>
      </c>
      <c r="FH55" s="1">
        <v>54245</v>
      </c>
      <c r="FI55" s="1">
        <v>14458</v>
      </c>
      <c r="FJ55" s="1">
        <v>652</v>
      </c>
      <c r="FK55" s="1">
        <v>2372</v>
      </c>
      <c r="FL55" s="1">
        <v>6384</v>
      </c>
      <c r="FM55" s="1">
        <v>1087</v>
      </c>
      <c r="FN55" s="1">
        <v>80877</v>
      </c>
      <c r="FO55" s="1">
        <v>500745</v>
      </c>
      <c r="FP55" s="1">
        <v>78</v>
      </c>
      <c r="FQ55" s="1">
        <v>67</v>
      </c>
      <c r="FR55" s="1">
        <v>62</v>
      </c>
      <c r="FS55" s="1">
        <v>112</v>
      </c>
      <c r="FT55" s="1">
        <v>27</v>
      </c>
      <c r="FU55" s="1">
        <v>77</v>
      </c>
      <c r="FV55" s="1">
        <v>79</v>
      </c>
      <c r="FW55" s="1">
        <v>100</v>
      </c>
      <c r="FX55" s="1">
        <v>78</v>
      </c>
      <c r="FY55" s="1">
        <v>44</v>
      </c>
      <c r="FZ55" s="3">
        <v>-0.53500000000000003</v>
      </c>
      <c r="GA55" s="3">
        <v>0.23799999999999999</v>
      </c>
      <c r="GB55" s="3">
        <v>0.56100000000000005</v>
      </c>
      <c r="GC55" s="3">
        <v>-0.35799999999999998</v>
      </c>
      <c r="GD55" s="3">
        <v>6.0999999999999999E-2</v>
      </c>
      <c r="GE55" s="3">
        <v>0.48499999999999999</v>
      </c>
      <c r="GF55" s="3">
        <v>-0.17799999999999999</v>
      </c>
      <c r="GG55" s="3">
        <v>7.1999999999999995E-2</v>
      </c>
      <c r="GH55" s="3">
        <v>0.27600000000000002</v>
      </c>
      <c r="GI55" s="3">
        <v>1.9E-2</v>
      </c>
      <c r="GJ55" s="3">
        <v>6.3E-2</v>
      </c>
      <c r="GK55" s="3">
        <v>2.3050000000000002</v>
      </c>
      <c r="GL55" s="3">
        <v>0.129</v>
      </c>
      <c r="GM55" s="3">
        <v>0.32700000000000001</v>
      </c>
      <c r="GN55" s="3">
        <v>0.22500000000000001</v>
      </c>
      <c r="GO55" s="3">
        <v>0.17499999999999999</v>
      </c>
      <c r="GP55" s="3">
        <v>-0.15</v>
      </c>
      <c r="GQ55" s="3">
        <v>-0.126</v>
      </c>
      <c r="GR55" s="3">
        <v>-6.3E-2</v>
      </c>
      <c r="GS55" s="3">
        <v>0.14399999999999999</v>
      </c>
      <c r="GT55" s="3">
        <v>5.2999999999999999E-2</v>
      </c>
      <c r="GU55" s="3">
        <v>3.2000000000000001E-2</v>
      </c>
      <c r="GV55" s="3">
        <v>0.189</v>
      </c>
      <c r="GW55" s="3">
        <v>-6.8000000000000005E-2</v>
      </c>
      <c r="GX55" s="3">
        <v>-6.3E-2</v>
      </c>
      <c r="GY55" s="3">
        <v>3.2000000000000001E-2</v>
      </c>
      <c r="GZ55" s="4">
        <v>81</v>
      </c>
      <c r="HA55" s="4">
        <v>87</v>
      </c>
      <c r="HB55" s="4">
        <v>64</v>
      </c>
      <c r="HC55" s="4">
        <v>115</v>
      </c>
      <c r="HD55" s="4">
        <v>40</v>
      </c>
      <c r="HE55" s="4">
        <v>84</v>
      </c>
      <c r="HF55" s="1">
        <v>33555</v>
      </c>
      <c r="HG55" s="1">
        <v>24374</v>
      </c>
      <c r="HH55" s="1">
        <v>22652</v>
      </c>
      <c r="HI55" s="1">
        <v>23696</v>
      </c>
      <c r="HJ55" s="1">
        <v>21140</v>
      </c>
      <c r="HK55" s="1">
        <v>26189</v>
      </c>
      <c r="HL55" s="1">
        <v>17608</v>
      </c>
      <c r="HM55" s="1">
        <v>47448</v>
      </c>
      <c r="HN55" s="1">
        <v>58289</v>
      </c>
      <c r="HO55" s="1">
        <v>60181</v>
      </c>
      <c r="HP55" s="1">
        <v>71282</v>
      </c>
      <c r="HQ55" s="1">
        <v>80661</v>
      </c>
      <c r="HR55" s="1">
        <v>64202</v>
      </c>
      <c r="HS55" s="1">
        <v>167992</v>
      </c>
      <c r="HT55" s="1">
        <v>126611</v>
      </c>
      <c r="HU55" s="1">
        <v>170716</v>
      </c>
      <c r="HV55" s="1">
        <v>104904</v>
      </c>
      <c r="HW55" s="1">
        <v>182147</v>
      </c>
      <c r="HX55" s="1">
        <v>133981</v>
      </c>
      <c r="HY55" s="1">
        <v>151647</v>
      </c>
      <c r="HZ55" s="1">
        <v>69877</v>
      </c>
      <c r="IA55" s="1">
        <v>71681</v>
      </c>
      <c r="IB55" s="1">
        <v>23689</v>
      </c>
      <c r="IC55" s="1">
        <v>26339</v>
      </c>
      <c r="ID55" s="1">
        <v>156523</v>
      </c>
      <c r="IE55" s="1">
        <v>5643</v>
      </c>
      <c r="IF55" s="1">
        <v>7004</v>
      </c>
      <c r="IG55" s="1">
        <v>8462</v>
      </c>
      <c r="IH55" s="1">
        <v>12751</v>
      </c>
      <c r="II55" s="1">
        <v>13311</v>
      </c>
      <c r="IJ55" s="1">
        <v>20230</v>
      </c>
      <c r="IK55" s="1">
        <v>22087</v>
      </c>
      <c r="IL55" s="1">
        <v>29775</v>
      </c>
      <c r="IM55" s="1">
        <v>24418</v>
      </c>
      <c r="IN55" s="1">
        <v>28937</v>
      </c>
      <c r="IO55" s="1">
        <v>21034</v>
      </c>
      <c r="IP55" s="1">
        <v>23690</v>
      </c>
      <c r="IQ55" s="1">
        <v>18429</v>
      </c>
      <c r="IR55" s="1">
        <v>16988</v>
      </c>
      <c r="IS55" s="1">
        <v>13760</v>
      </c>
      <c r="IT55" s="1">
        <v>26347</v>
      </c>
      <c r="IU55" s="1">
        <v>16633</v>
      </c>
      <c r="IV55" s="1">
        <v>27014</v>
      </c>
      <c r="IW55">
        <v>10264</v>
      </c>
      <c r="IX55">
        <v>8183</v>
      </c>
      <c r="IY55">
        <v>3208</v>
      </c>
      <c r="IZ55">
        <v>66525</v>
      </c>
      <c r="JA55">
        <v>563</v>
      </c>
      <c r="JB55">
        <v>1422473</v>
      </c>
      <c r="JC55">
        <v>32040</v>
      </c>
      <c r="JD55">
        <v>8811</v>
      </c>
      <c r="JE55">
        <v>6038</v>
      </c>
      <c r="JF55">
        <v>5509</v>
      </c>
      <c r="JG55">
        <v>3821</v>
      </c>
      <c r="JH55">
        <v>4327</v>
      </c>
      <c r="JI55">
        <v>3499</v>
      </c>
      <c r="JJ55">
        <v>230226</v>
      </c>
      <c r="JK55">
        <v>5202</v>
      </c>
      <c r="JL55">
        <v>204167</v>
      </c>
      <c r="JM55">
        <v>12691</v>
      </c>
      <c r="JN55">
        <v>24666</v>
      </c>
      <c r="JO55">
        <v>25810</v>
      </c>
      <c r="JP55">
        <v>22556</v>
      </c>
      <c r="JQ55">
        <v>16282</v>
      </c>
      <c r="JR55">
        <v>13202</v>
      </c>
      <c r="JS55">
        <v>9212</v>
      </c>
      <c r="JT55">
        <v>68164</v>
      </c>
      <c r="JU55">
        <v>1230</v>
      </c>
      <c r="JV55">
        <v>129536</v>
      </c>
      <c r="JW55">
        <v>172876</v>
      </c>
      <c r="JX55">
        <v>366212</v>
      </c>
      <c r="JY55">
        <v>329094</v>
      </c>
      <c r="JZ55">
        <v>357208</v>
      </c>
      <c r="KA55">
        <v>197043</v>
      </c>
      <c r="KB55">
        <v>175285</v>
      </c>
      <c r="KC55">
        <v>94352</v>
      </c>
      <c r="KD55">
        <v>298320</v>
      </c>
      <c r="KE55">
        <v>92606</v>
      </c>
      <c r="KF55">
        <v>18906</v>
      </c>
      <c r="KG55">
        <v>191014</v>
      </c>
      <c r="KH55">
        <v>251222</v>
      </c>
      <c r="KI55">
        <v>49194</v>
      </c>
      <c r="KJ55">
        <v>258511</v>
      </c>
      <c r="KK55">
        <v>84573</v>
      </c>
      <c r="KL55">
        <v>26615</v>
      </c>
      <c r="KM55">
        <v>32535</v>
      </c>
      <c r="KN55">
        <v>70746</v>
      </c>
      <c r="KO55">
        <v>37375</v>
      </c>
      <c r="KP55">
        <v>86276</v>
      </c>
      <c r="KQ55">
        <v>895</v>
      </c>
      <c r="KR55">
        <v>72189</v>
      </c>
      <c r="KS55">
        <v>195851</v>
      </c>
      <c r="KT55">
        <v>283258</v>
      </c>
      <c r="KU55">
        <v>54566</v>
      </c>
      <c r="KV55">
        <v>156337</v>
      </c>
      <c r="KW55">
        <v>106180</v>
      </c>
      <c r="KX55">
        <v>114445</v>
      </c>
      <c r="KY55">
        <v>1324437</v>
      </c>
      <c r="KZ55">
        <v>101452</v>
      </c>
      <c r="LA55">
        <v>174440</v>
      </c>
      <c r="LB55">
        <v>189398</v>
      </c>
      <c r="LC55">
        <v>113176</v>
      </c>
      <c r="LD55">
        <v>53013</v>
      </c>
      <c r="LE55">
        <v>221935</v>
      </c>
      <c r="LF55">
        <v>5443</v>
      </c>
      <c r="LG55">
        <v>1958821</v>
      </c>
      <c r="LH55">
        <v>13296</v>
      </c>
      <c r="LI55">
        <v>68900</v>
      </c>
      <c r="LJ55">
        <v>5594</v>
      </c>
      <c r="LK55">
        <v>53203</v>
      </c>
      <c r="LL55">
        <v>2009</v>
      </c>
      <c r="LM55">
        <v>9447</v>
      </c>
      <c r="LN55">
        <v>857</v>
      </c>
      <c r="LO55">
        <v>7799</v>
      </c>
      <c r="LP55">
        <v>487298.71875</v>
      </c>
      <c r="LQ55">
        <v>10.609349999999999</v>
      </c>
    </row>
    <row r="56" spans="1:329" x14ac:dyDescent="0.25">
      <c r="A56" s="5" t="s">
        <v>378</v>
      </c>
      <c r="B56" s="5" t="s">
        <v>311</v>
      </c>
      <c r="C56" s="1">
        <v>6045827</v>
      </c>
      <c r="D56" s="1">
        <v>6472498</v>
      </c>
      <c r="E56" s="1">
        <v>6595915</v>
      </c>
      <c r="F56" s="1">
        <v>6508454</v>
      </c>
      <c r="G56" s="1">
        <v>6511182</v>
      </c>
      <c r="H56" s="1">
        <v>2233020</v>
      </c>
      <c r="I56" s="1">
        <v>2512917</v>
      </c>
      <c r="J56" s="1">
        <v>2618900</v>
      </c>
      <c r="K56" s="1">
        <v>2736789</v>
      </c>
      <c r="L56" s="1">
        <v>2769645</v>
      </c>
      <c r="M56" s="1">
        <v>3127728</v>
      </c>
      <c r="N56" s="1">
        <v>2146102</v>
      </c>
      <c r="O56" s="1">
        <v>590687</v>
      </c>
      <c r="P56" s="1">
        <v>390939</v>
      </c>
      <c r="Q56" s="1">
        <v>424569</v>
      </c>
      <c r="R56" s="1">
        <v>119013</v>
      </c>
      <c r="S56" s="1">
        <v>1120</v>
      </c>
      <c r="T56" s="1">
        <v>5424455</v>
      </c>
      <c r="U56" s="1">
        <v>1018743</v>
      </c>
      <c r="V56" s="1">
        <v>65256</v>
      </c>
      <c r="W56" s="1">
        <v>5846</v>
      </c>
      <c r="X56" s="1">
        <v>147</v>
      </c>
      <c r="Y56" s="2">
        <v>41.28</v>
      </c>
      <c r="Z56" s="1">
        <v>376665</v>
      </c>
      <c r="AA56" s="1">
        <v>390204</v>
      </c>
      <c r="AB56" s="1">
        <v>417649</v>
      </c>
      <c r="AC56" s="1">
        <v>393828</v>
      </c>
      <c r="AD56" s="1">
        <v>353364</v>
      </c>
      <c r="AE56" s="1">
        <v>389753</v>
      </c>
      <c r="AF56" s="1">
        <v>373097</v>
      </c>
      <c r="AG56" s="1">
        <v>386661</v>
      </c>
      <c r="AH56" s="1">
        <v>378930</v>
      </c>
      <c r="AI56" s="1">
        <v>413882</v>
      </c>
      <c r="AJ56" s="1">
        <v>431342</v>
      </c>
      <c r="AK56" s="1">
        <v>479666</v>
      </c>
      <c r="AL56" s="1">
        <v>468659</v>
      </c>
      <c r="AM56" s="1">
        <v>415184</v>
      </c>
      <c r="AN56" s="1">
        <v>337602</v>
      </c>
      <c r="AO56" s="1">
        <v>233872</v>
      </c>
      <c r="AP56" s="1">
        <v>143984</v>
      </c>
      <c r="AQ56" s="1">
        <v>124115</v>
      </c>
      <c r="AR56" s="1">
        <v>3247164</v>
      </c>
      <c r="AS56" s="1">
        <v>3261290</v>
      </c>
      <c r="AT56" s="1">
        <v>5642150</v>
      </c>
      <c r="AU56" s="1">
        <v>319909</v>
      </c>
      <c r="AV56" s="1">
        <v>59689</v>
      </c>
      <c r="AW56" s="1">
        <v>42612</v>
      </c>
      <c r="AX56" s="1">
        <v>1767</v>
      </c>
      <c r="AY56" s="1">
        <v>4126</v>
      </c>
      <c r="AZ56" s="1">
        <v>134205</v>
      </c>
      <c r="BA56" s="1">
        <v>304499</v>
      </c>
      <c r="BB56" s="1">
        <v>5323938</v>
      </c>
      <c r="BC56" s="1">
        <v>1304439</v>
      </c>
      <c r="BD56" s="1">
        <v>2712516</v>
      </c>
      <c r="BE56" s="1">
        <v>217725</v>
      </c>
      <c r="BF56" s="1">
        <v>409955</v>
      </c>
      <c r="BG56" s="1">
        <v>679303</v>
      </c>
      <c r="BH56" s="1">
        <v>4576746</v>
      </c>
      <c r="BI56" s="1">
        <v>261034</v>
      </c>
      <c r="BJ56" s="1">
        <v>471959</v>
      </c>
      <c r="BK56" s="1">
        <v>1851667</v>
      </c>
      <c r="BL56" s="1">
        <v>927287</v>
      </c>
      <c r="BM56" s="1">
        <v>374861</v>
      </c>
      <c r="BN56" s="1">
        <v>450375</v>
      </c>
      <c r="BO56" s="1">
        <v>239563</v>
      </c>
      <c r="BP56" s="1">
        <v>5246404</v>
      </c>
      <c r="BQ56" s="1">
        <v>3999</v>
      </c>
      <c r="BR56" s="1">
        <v>2712161</v>
      </c>
      <c r="BS56" s="1">
        <v>110836</v>
      </c>
      <c r="BT56" s="1">
        <v>2419408</v>
      </c>
      <c r="BU56" s="1">
        <v>1862113</v>
      </c>
      <c r="BV56" s="1">
        <v>874676</v>
      </c>
      <c r="BW56" s="1">
        <v>536911</v>
      </c>
      <c r="BX56" s="1">
        <v>80307</v>
      </c>
      <c r="BY56" s="1">
        <v>177835</v>
      </c>
      <c r="BZ56" s="1">
        <v>901517</v>
      </c>
      <c r="CA56" s="1">
        <v>55602</v>
      </c>
      <c r="CB56" s="1">
        <v>109154</v>
      </c>
      <c r="CC56" s="2">
        <v>2.35</v>
      </c>
      <c r="CD56" s="1">
        <v>759365</v>
      </c>
      <c r="CE56" s="1">
        <v>1048501</v>
      </c>
      <c r="CF56" s="1">
        <v>403118</v>
      </c>
      <c r="CG56" s="1">
        <v>308413</v>
      </c>
      <c r="CH56" s="1">
        <v>138150</v>
      </c>
      <c r="CI56" s="1">
        <v>49297</v>
      </c>
      <c r="CJ56" s="1">
        <v>29946</v>
      </c>
      <c r="CK56" s="2">
        <v>54.85</v>
      </c>
      <c r="CL56" s="1">
        <v>102367</v>
      </c>
      <c r="CM56" s="1">
        <v>345432</v>
      </c>
      <c r="CN56" s="1">
        <v>401665</v>
      </c>
      <c r="CO56" s="1">
        <v>470797</v>
      </c>
      <c r="CP56" s="1">
        <v>565909</v>
      </c>
      <c r="CQ56" s="1">
        <v>489388</v>
      </c>
      <c r="CR56" s="1">
        <v>270219</v>
      </c>
      <c r="CS56" s="1">
        <v>91012</v>
      </c>
      <c r="CT56" s="1">
        <v>148935</v>
      </c>
      <c r="CU56" s="1">
        <v>805040</v>
      </c>
      <c r="CV56" s="1">
        <v>1782814</v>
      </c>
      <c r="CW56" s="1">
        <v>24812</v>
      </c>
      <c r="CX56" s="1">
        <v>47383</v>
      </c>
      <c r="CY56" s="1">
        <v>58995</v>
      </c>
      <c r="CZ56" s="1">
        <v>207474</v>
      </c>
      <c r="DA56" s="1">
        <v>161787</v>
      </c>
      <c r="DB56" s="1">
        <v>172906</v>
      </c>
      <c r="DC56" s="1">
        <v>181143</v>
      </c>
      <c r="DD56" s="1">
        <v>154261</v>
      </c>
      <c r="DE56" s="1">
        <v>148131</v>
      </c>
      <c r="DF56" s="1">
        <v>142148</v>
      </c>
      <c r="DG56" s="1">
        <v>140323</v>
      </c>
      <c r="DH56" s="1">
        <v>126305</v>
      </c>
      <c r="DI56" s="1">
        <v>234833</v>
      </c>
      <c r="DJ56" s="1">
        <v>288634</v>
      </c>
      <c r="DK56" s="1">
        <v>347563</v>
      </c>
      <c r="DL56" s="1">
        <v>169400</v>
      </c>
      <c r="DM56" s="1">
        <v>115130</v>
      </c>
      <c r="DN56" s="1">
        <v>90016</v>
      </c>
      <c r="DO56" s="1">
        <v>56733</v>
      </c>
      <c r="DP56" s="1">
        <v>33010</v>
      </c>
      <c r="DQ56" s="1">
        <v>50516</v>
      </c>
      <c r="DR56" s="1">
        <v>55175</v>
      </c>
      <c r="DS56" s="1">
        <v>58051</v>
      </c>
      <c r="DT56" s="1">
        <v>52875</v>
      </c>
      <c r="DU56" s="1">
        <v>42724</v>
      </c>
      <c r="DV56" s="1">
        <v>32316</v>
      </c>
      <c r="DW56" s="2">
        <v>48569.14</v>
      </c>
      <c r="DX56" s="2">
        <v>23003.040000000001</v>
      </c>
      <c r="DY56" s="2">
        <v>1530</v>
      </c>
      <c r="DZ56" s="2">
        <v>327.78</v>
      </c>
      <c r="EA56" s="2">
        <v>1670.69</v>
      </c>
      <c r="EB56" s="2">
        <v>1304.23</v>
      </c>
      <c r="EC56" s="2">
        <v>2693.32</v>
      </c>
      <c r="ED56" s="2">
        <v>7224.55</v>
      </c>
      <c r="EE56" s="2">
        <v>4271.59</v>
      </c>
      <c r="EF56" s="2">
        <v>1676.65</v>
      </c>
      <c r="EG56" s="2">
        <v>10229.61</v>
      </c>
      <c r="EH56" s="2">
        <v>1886.97</v>
      </c>
      <c r="EI56" s="2">
        <v>915.22</v>
      </c>
      <c r="EJ56" s="2">
        <v>650.67999999999995</v>
      </c>
      <c r="EK56" s="2">
        <v>106.05</v>
      </c>
      <c r="EL56" s="2">
        <v>326.88</v>
      </c>
      <c r="EM56" s="2">
        <v>8868.2800000000007</v>
      </c>
      <c r="EN56" s="2">
        <v>3765.82</v>
      </c>
      <c r="EO56" s="2">
        <v>1120.82</v>
      </c>
      <c r="EP56" s="1">
        <v>20353</v>
      </c>
      <c r="EQ56" s="1">
        <v>2473</v>
      </c>
      <c r="ER56" s="1">
        <v>522</v>
      </c>
      <c r="ES56" s="1">
        <v>3026</v>
      </c>
      <c r="ET56" s="1">
        <v>18863</v>
      </c>
      <c r="EU56" s="1">
        <v>33379</v>
      </c>
      <c r="EV56" s="1">
        <v>62111</v>
      </c>
      <c r="EW56" s="1">
        <v>4383</v>
      </c>
      <c r="EX56" s="1">
        <v>13116</v>
      </c>
      <c r="EY56" s="1">
        <v>2233</v>
      </c>
      <c r="EZ56" s="1">
        <v>161006</v>
      </c>
      <c r="FA56" s="1">
        <v>17670</v>
      </c>
      <c r="FB56" s="1">
        <v>76083</v>
      </c>
      <c r="FC56" s="1">
        <v>22766</v>
      </c>
      <c r="FD56" s="1">
        <v>15359</v>
      </c>
      <c r="FE56" s="1">
        <v>62354</v>
      </c>
      <c r="FF56" s="1">
        <v>3240</v>
      </c>
      <c r="FG56" s="1">
        <v>238380</v>
      </c>
      <c r="FH56" s="1">
        <v>26134</v>
      </c>
      <c r="FI56" s="1">
        <v>13871</v>
      </c>
      <c r="FJ56" s="1">
        <v>509</v>
      </c>
      <c r="FK56" s="1">
        <v>1988</v>
      </c>
      <c r="FL56" s="1">
        <v>3751</v>
      </c>
      <c r="FM56" s="1">
        <v>908</v>
      </c>
      <c r="FN56" s="1">
        <v>61150</v>
      </c>
      <c r="FO56" s="1">
        <v>338869</v>
      </c>
      <c r="FP56" s="1">
        <v>62</v>
      </c>
      <c r="FQ56" s="1">
        <v>68</v>
      </c>
      <c r="FR56" s="1">
        <v>67</v>
      </c>
      <c r="FS56" s="1">
        <v>89</v>
      </c>
      <c r="FT56" s="1">
        <v>26</v>
      </c>
      <c r="FU56" s="1">
        <v>84</v>
      </c>
      <c r="FV56" s="1">
        <v>60</v>
      </c>
      <c r="FW56" s="1">
        <v>81</v>
      </c>
      <c r="FX56" s="1">
        <v>56</v>
      </c>
      <c r="FY56" s="1">
        <v>50</v>
      </c>
      <c r="FZ56" s="3">
        <v>-0.77600000000000002</v>
      </c>
      <c r="GA56" s="3">
        <v>0.26600000000000001</v>
      </c>
      <c r="GB56" s="3">
        <v>0.28599999999999998</v>
      </c>
      <c r="GC56" s="3">
        <v>-0.503</v>
      </c>
      <c r="GD56" s="3">
        <v>-0.89700000000000002</v>
      </c>
      <c r="GE56" s="3">
        <v>0.55400000000000005</v>
      </c>
      <c r="GF56" s="3">
        <v>-0.34599999999999997</v>
      </c>
      <c r="GG56" s="3">
        <v>4.2999999999999997E-2</v>
      </c>
      <c r="GH56" s="3">
        <v>0.501</v>
      </c>
      <c r="GI56" s="3">
        <v>-6.0000000000000001E-3</v>
      </c>
      <c r="GJ56" s="3">
        <v>0.14799999999999999</v>
      </c>
      <c r="GK56" s="3">
        <v>-0.11899999999999999</v>
      </c>
      <c r="GL56" s="3">
        <v>7.0000000000000001E-3</v>
      </c>
      <c r="GM56" s="3">
        <v>-8.6999999999999994E-2</v>
      </c>
      <c r="GN56" s="3">
        <v>0.46700000000000003</v>
      </c>
      <c r="GO56" s="3">
        <v>6.9000000000000006E-2</v>
      </c>
      <c r="GP56" s="3">
        <v>0.23699999999999999</v>
      </c>
      <c r="GQ56" s="3">
        <v>-0.111</v>
      </c>
      <c r="GR56" s="3">
        <v>-0.156</v>
      </c>
      <c r="GS56" s="3">
        <v>0.86399999999999999</v>
      </c>
      <c r="GT56" s="3">
        <v>0.79100000000000004</v>
      </c>
      <c r="GU56" s="3">
        <v>0.32300000000000001</v>
      </c>
      <c r="GV56" s="3">
        <v>-0.107</v>
      </c>
      <c r="GW56" s="3">
        <v>-0.18</v>
      </c>
      <c r="GX56" s="3">
        <v>-6.8000000000000005E-2</v>
      </c>
      <c r="GY56" s="3">
        <v>-2.1999999999999999E-2</v>
      </c>
      <c r="GZ56" s="4">
        <v>80</v>
      </c>
      <c r="HA56" s="4">
        <v>87</v>
      </c>
      <c r="HB56" s="4">
        <v>53</v>
      </c>
      <c r="HC56" s="4">
        <v>107</v>
      </c>
      <c r="HD56" s="4">
        <v>36</v>
      </c>
      <c r="HE56" s="4">
        <v>92</v>
      </c>
      <c r="HF56" s="1">
        <v>80489</v>
      </c>
      <c r="HG56" s="1">
        <v>55820</v>
      </c>
      <c r="HH56" s="1">
        <v>49909</v>
      </c>
      <c r="HI56" s="1">
        <v>53724</v>
      </c>
      <c r="HJ56" s="1">
        <v>46650</v>
      </c>
      <c r="HK56" s="1">
        <v>59745</v>
      </c>
      <c r="HL56" s="1">
        <v>38296</v>
      </c>
      <c r="HM56" s="1">
        <v>102099</v>
      </c>
      <c r="HN56" s="1">
        <v>115240</v>
      </c>
      <c r="HO56" s="1">
        <v>120053</v>
      </c>
      <c r="HP56" s="1">
        <v>133522</v>
      </c>
      <c r="HQ56" s="1">
        <v>135556</v>
      </c>
      <c r="HR56" s="1">
        <v>102002</v>
      </c>
      <c r="HS56" s="1">
        <v>219385</v>
      </c>
      <c r="HT56" s="1">
        <v>147259</v>
      </c>
      <c r="HU56" s="1">
        <v>165433</v>
      </c>
      <c r="HV56" s="1">
        <v>87230</v>
      </c>
      <c r="HW56" s="1">
        <v>127317</v>
      </c>
      <c r="HX56" s="1">
        <v>78700</v>
      </c>
      <c r="HY56" s="1">
        <v>67803</v>
      </c>
      <c r="HZ56" s="1">
        <v>25375</v>
      </c>
      <c r="IA56" s="1">
        <v>25017</v>
      </c>
      <c r="IB56" s="1">
        <v>7110</v>
      </c>
      <c r="IC56" s="1">
        <v>11367</v>
      </c>
      <c r="ID56" s="1">
        <v>93572</v>
      </c>
      <c r="IE56" s="1">
        <v>12637</v>
      </c>
      <c r="IF56" s="1">
        <v>15554</v>
      </c>
      <c r="IG56" s="1">
        <v>18016</v>
      </c>
      <c r="IH56" s="1">
        <v>26182</v>
      </c>
      <c r="II56" s="1">
        <v>30078</v>
      </c>
      <c r="IJ56" s="1">
        <v>43021</v>
      </c>
      <c r="IK56" s="1">
        <v>45262</v>
      </c>
      <c r="IL56" s="1">
        <v>47174</v>
      </c>
      <c r="IM56" s="1">
        <v>37299</v>
      </c>
      <c r="IN56" s="1">
        <v>36449</v>
      </c>
      <c r="IO56" s="1">
        <v>25714</v>
      </c>
      <c r="IP56" s="1">
        <v>23210</v>
      </c>
      <c r="IQ56" s="1">
        <v>18319</v>
      </c>
      <c r="IR56" s="1">
        <v>13544</v>
      </c>
      <c r="IS56" s="1">
        <v>10866</v>
      </c>
      <c r="IT56" s="1">
        <v>16203</v>
      </c>
      <c r="IU56" s="1">
        <v>8932</v>
      </c>
      <c r="IV56" s="1">
        <v>12083</v>
      </c>
      <c r="IW56">
        <v>2094</v>
      </c>
      <c r="IX56">
        <v>1858</v>
      </c>
      <c r="IY56">
        <v>993</v>
      </c>
      <c r="IZ56">
        <v>106267</v>
      </c>
      <c r="JA56">
        <v>403</v>
      </c>
      <c r="JB56">
        <v>1298147</v>
      </c>
      <c r="JC56">
        <v>16637</v>
      </c>
      <c r="JD56">
        <v>2439</v>
      </c>
      <c r="JE56">
        <v>1465</v>
      </c>
      <c r="JF56">
        <v>1005</v>
      </c>
      <c r="JG56">
        <v>633</v>
      </c>
      <c r="JH56">
        <v>340</v>
      </c>
      <c r="JI56">
        <v>672</v>
      </c>
      <c r="JJ56">
        <v>350143</v>
      </c>
      <c r="JK56">
        <v>2647</v>
      </c>
      <c r="JL56">
        <v>215526</v>
      </c>
      <c r="JM56">
        <v>7170</v>
      </c>
      <c r="JN56">
        <v>17079</v>
      </c>
      <c r="JO56">
        <v>17774</v>
      </c>
      <c r="JP56">
        <v>20153</v>
      </c>
      <c r="JQ56">
        <v>10576</v>
      </c>
      <c r="JR56">
        <v>7108</v>
      </c>
      <c r="JS56">
        <v>6067</v>
      </c>
      <c r="JT56">
        <v>100019</v>
      </c>
      <c r="JU56">
        <v>1070</v>
      </c>
      <c r="JV56">
        <v>119359</v>
      </c>
      <c r="JW56">
        <v>143292</v>
      </c>
      <c r="JX56">
        <v>349566</v>
      </c>
      <c r="JY56">
        <v>328453</v>
      </c>
      <c r="JZ56">
        <v>390379</v>
      </c>
      <c r="KA56">
        <v>220066</v>
      </c>
      <c r="KB56">
        <v>188781</v>
      </c>
      <c r="KC56">
        <v>113181</v>
      </c>
      <c r="KD56">
        <v>223593</v>
      </c>
      <c r="KE56">
        <v>55498</v>
      </c>
      <c r="KF56">
        <v>153801</v>
      </c>
      <c r="KG56">
        <v>162322</v>
      </c>
      <c r="KH56">
        <v>240017</v>
      </c>
      <c r="KI56">
        <v>47773</v>
      </c>
      <c r="KJ56">
        <v>240015</v>
      </c>
      <c r="KK56">
        <v>94865</v>
      </c>
      <c r="KL56">
        <v>30485</v>
      </c>
      <c r="KM56">
        <v>24890</v>
      </c>
      <c r="KN56">
        <v>55650</v>
      </c>
      <c r="KO56">
        <v>19855</v>
      </c>
      <c r="KP56">
        <v>54538</v>
      </c>
      <c r="KQ56">
        <v>625</v>
      </c>
      <c r="KR56">
        <v>58013</v>
      </c>
      <c r="KS56">
        <v>187445</v>
      </c>
      <c r="KT56">
        <v>278283</v>
      </c>
      <c r="KU56">
        <v>25097</v>
      </c>
      <c r="KV56">
        <v>104353</v>
      </c>
      <c r="KW56">
        <v>97085</v>
      </c>
      <c r="KX56">
        <v>106866</v>
      </c>
      <c r="KY56">
        <v>1360809</v>
      </c>
      <c r="KZ56">
        <v>54242</v>
      </c>
      <c r="LA56">
        <v>117555</v>
      </c>
      <c r="LB56">
        <v>167623</v>
      </c>
      <c r="LC56">
        <v>136371</v>
      </c>
      <c r="LD56">
        <v>50119</v>
      </c>
      <c r="LE56">
        <v>147441</v>
      </c>
      <c r="LF56">
        <v>3316</v>
      </c>
      <c r="LG56">
        <v>1960025</v>
      </c>
      <c r="LH56">
        <v>8131</v>
      </c>
      <c r="LI56">
        <v>44658</v>
      </c>
      <c r="LJ56">
        <v>3990</v>
      </c>
      <c r="LK56">
        <v>47456</v>
      </c>
      <c r="LL56">
        <v>1372</v>
      </c>
      <c r="LM56">
        <v>5724</v>
      </c>
      <c r="LN56">
        <v>512</v>
      </c>
      <c r="LO56">
        <v>4802</v>
      </c>
      <c r="LP56">
        <v>251595.09375</v>
      </c>
      <c r="LQ56">
        <v>20.778220000000001</v>
      </c>
    </row>
    <row r="57" spans="1:329" x14ac:dyDescent="0.25">
      <c r="A57" s="5" t="s">
        <v>379</v>
      </c>
      <c r="B57" s="5" t="s">
        <v>312</v>
      </c>
      <c r="C57" s="1">
        <v>3661734</v>
      </c>
      <c r="D57" s="1">
        <v>4178442</v>
      </c>
      <c r="E57" s="1">
        <v>4438285</v>
      </c>
      <c r="F57" s="1">
        <v>4355938</v>
      </c>
      <c r="G57" s="1">
        <v>4399753</v>
      </c>
      <c r="H57" s="1">
        <v>1212713</v>
      </c>
      <c r="I57" s="1">
        <v>1388220</v>
      </c>
      <c r="J57" s="1">
        <v>1426652</v>
      </c>
      <c r="K57" s="1">
        <v>1497183</v>
      </c>
      <c r="L57" s="1">
        <v>1527641</v>
      </c>
      <c r="M57" s="1">
        <v>1725827</v>
      </c>
      <c r="N57" s="1">
        <v>1139128</v>
      </c>
      <c r="O57" s="1">
        <v>358056</v>
      </c>
      <c r="P57" s="1">
        <v>228643</v>
      </c>
      <c r="Q57" s="1">
        <v>251665</v>
      </c>
      <c r="R57" s="1">
        <v>58670</v>
      </c>
      <c r="S57" s="1">
        <v>1106</v>
      </c>
      <c r="T57" s="1">
        <v>2962219</v>
      </c>
      <c r="U57" s="1">
        <v>576222</v>
      </c>
      <c r="V57" s="1">
        <v>817497</v>
      </c>
      <c r="W57" s="1">
        <v>5166</v>
      </c>
      <c r="X57" s="1">
        <v>226</v>
      </c>
      <c r="Y57" s="2">
        <v>38.700000000000003</v>
      </c>
      <c r="Z57" s="1">
        <v>208295</v>
      </c>
      <c r="AA57" s="1">
        <v>215515</v>
      </c>
      <c r="AB57" s="1">
        <v>230356</v>
      </c>
      <c r="AC57" s="1">
        <v>259444</v>
      </c>
      <c r="AD57" s="1">
        <v>316031</v>
      </c>
      <c r="AE57" s="1">
        <v>343712</v>
      </c>
      <c r="AF57" s="1">
        <v>319049</v>
      </c>
      <c r="AG57" s="1">
        <v>303913</v>
      </c>
      <c r="AH57" s="1">
        <v>289208</v>
      </c>
      <c r="AI57" s="1">
        <v>301986</v>
      </c>
      <c r="AJ57" s="1">
        <v>292869</v>
      </c>
      <c r="AK57" s="1">
        <v>295933</v>
      </c>
      <c r="AL57" s="1">
        <v>274683</v>
      </c>
      <c r="AM57" s="1">
        <v>234320</v>
      </c>
      <c r="AN57" s="1">
        <v>186426</v>
      </c>
      <c r="AO57" s="1">
        <v>127935</v>
      </c>
      <c r="AP57" s="1">
        <v>80804</v>
      </c>
      <c r="AQ57" s="1">
        <v>75455</v>
      </c>
      <c r="AR57" s="1">
        <v>2467314</v>
      </c>
      <c r="AS57" s="1">
        <v>1888624</v>
      </c>
      <c r="AT57" s="1">
        <v>2349296</v>
      </c>
      <c r="AU57" s="1">
        <v>1584103</v>
      </c>
      <c r="AV57" s="1">
        <v>23239</v>
      </c>
      <c r="AW57" s="1">
        <v>32107</v>
      </c>
      <c r="AX57" s="1">
        <v>1255</v>
      </c>
      <c r="AY57" s="1">
        <v>7667</v>
      </c>
      <c r="AZ57" s="1">
        <v>61929</v>
      </c>
      <c r="BA57" s="1">
        <v>296499</v>
      </c>
      <c r="BB57" s="1">
        <v>3701772</v>
      </c>
      <c r="BC57" s="1">
        <v>1381897</v>
      </c>
      <c r="BD57" s="1">
        <v>1291745</v>
      </c>
      <c r="BE57" s="1">
        <v>292295</v>
      </c>
      <c r="BF57" s="1">
        <v>252682</v>
      </c>
      <c r="BG57" s="1">
        <v>483153</v>
      </c>
      <c r="BH57" s="1">
        <v>3126297</v>
      </c>
      <c r="BI57" s="1">
        <v>189646</v>
      </c>
      <c r="BJ57" s="1">
        <v>436176</v>
      </c>
      <c r="BK57" s="1">
        <v>1212360</v>
      </c>
      <c r="BL57" s="1">
        <v>636040</v>
      </c>
      <c r="BM57" s="1">
        <v>236884</v>
      </c>
      <c r="BN57" s="1">
        <v>270292</v>
      </c>
      <c r="BO57" s="1">
        <v>144899</v>
      </c>
      <c r="BP57" s="1">
        <v>3658725</v>
      </c>
      <c r="BQ57" s="1">
        <v>4451</v>
      </c>
      <c r="BR57" s="1">
        <v>1520406</v>
      </c>
      <c r="BS57" s="1">
        <v>70030</v>
      </c>
      <c r="BT57" s="1">
        <v>2063838</v>
      </c>
      <c r="BU57" s="1">
        <v>993762</v>
      </c>
      <c r="BV57" s="1">
        <v>503421</v>
      </c>
      <c r="BW57" s="1">
        <v>254391</v>
      </c>
      <c r="BX57" s="1">
        <v>42345</v>
      </c>
      <c r="BY57" s="1">
        <v>151124</v>
      </c>
      <c r="BZ57" s="1">
        <v>420404</v>
      </c>
      <c r="CA57" s="1">
        <v>36204</v>
      </c>
      <c r="CB57" s="1">
        <v>88754</v>
      </c>
      <c r="CC57" s="2">
        <v>2.36</v>
      </c>
      <c r="CD57" s="1">
        <v>444613</v>
      </c>
      <c r="CE57" s="1">
        <v>533609</v>
      </c>
      <c r="CF57" s="1">
        <v>222772</v>
      </c>
      <c r="CG57" s="1">
        <v>165378</v>
      </c>
      <c r="CH57" s="1">
        <v>78812</v>
      </c>
      <c r="CI57" s="1">
        <v>30912</v>
      </c>
      <c r="CJ57" s="1">
        <v>21087</v>
      </c>
      <c r="CK57" s="2">
        <v>54.91</v>
      </c>
      <c r="CL57" s="1">
        <v>54770</v>
      </c>
      <c r="CM57" s="1">
        <v>191207</v>
      </c>
      <c r="CN57" s="1">
        <v>215608</v>
      </c>
      <c r="CO57" s="1">
        <v>258194</v>
      </c>
      <c r="CP57" s="1">
        <v>315936</v>
      </c>
      <c r="CQ57" s="1">
        <v>268182</v>
      </c>
      <c r="CR57" s="1">
        <v>144456</v>
      </c>
      <c r="CS57" s="1">
        <v>48831</v>
      </c>
      <c r="CT57" s="1">
        <v>101361</v>
      </c>
      <c r="CU57" s="1">
        <v>470128</v>
      </c>
      <c r="CV57" s="1">
        <v>925692</v>
      </c>
      <c r="CW57" s="1">
        <v>21636</v>
      </c>
      <c r="CX57" s="1">
        <v>43773</v>
      </c>
      <c r="CY57" s="1">
        <v>55429</v>
      </c>
      <c r="CZ57" s="1">
        <v>138636</v>
      </c>
      <c r="DA57" s="1">
        <v>96708</v>
      </c>
      <c r="DB57" s="1">
        <v>101673</v>
      </c>
      <c r="DC57" s="1">
        <v>104831</v>
      </c>
      <c r="DD57" s="1">
        <v>89007</v>
      </c>
      <c r="DE57" s="1">
        <v>82143</v>
      </c>
      <c r="DF57" s="1">
        <v>77916</v>
      </c>
      <c r="DG57" s="1">
        <v>76424</v>
      </c>
      <c r="DH57" s="1">
        <v>69302</v>
      </c>
      <c r="DI57" s="1">
        <v>125788</v>
      </c>
      <c r="DJ57" s="1">
        <v>150851</v>
      </c>
      <c r="DK57" s="1">
        <v>173545</v>
      </c>
      <c r="DL57" s="1">
        <v>82141</v>
      </c>
      <c r="DM57" s="1">
        <v>55533</v>
      </c>
      <c r="DN57" s="1">
        <v>44813</v>
      </c>
      <c r="DO57" s="1">
        <v>27874</v>
      </c>
      <c r="DP57" s="1">
        <v>28665</v>
      </c>
      <c r="DQ57" s="1">
        <v>46610</v>
      </c>
      <c r="DR57" s="1">
        <v>51244</v>
      </c>
      <c r="DS57" s="1">
        <v>53654</v>
      </c>
      <c r="DT57" s="1">
        <v>48672</v>
      </c>
      <c r="DU57" s="1">
        <v>39150</v>
      </c>
      <c r="DV57" s="1">
        <v>29937</v>
      </c>
      <c r="DW57" s="2">
        <v>46414.55</v>
      </c>
      <c r="DX57" s="2">
        <v>21955.99</v>
      </c>
      <c r="DY57" s="2">
        <v>1454.09</v>
      </c>
      <c r="DZ57" s="2">
        <v>310.24</v>
      </c>
      <c r="EA57" s="2">
        <v>1596.41</v>
      </c>
      <c r="EB57" s="2">
        <v>1248.77</v>
      </c>
      <c r="EC57" s="2">
        <v>2563.2199999999998</v>
      </c>
      <c r="ED57" s="2">
        <v>6916.14</v>
      </c>
      <c r="EE57" s="2">
        <v>4081.35</v>
      </c>
      <c r="EF57" s="2">
        <v>1594.78</v>
      </c>
      <c r="EG57" s="2">
        <v>9805.6</v>
      </c>
      <c r="EH57" s="2">
        <v>1801.35</v>
      </c>
      <c r="EI57" s="2">
        <v>874.13</v>
      </c>
      <c r="EJ57" s="2">
        <v>621.47</v>
      </c>
      <c r="EK57" s="2">
        <v>101.15</v>
      </c>
      <c r="EL57" s="2">
        <v>317.38</v>
      </c>
      <c r="EM57" s="2">
        <v>8445.64</v>
      </c>
      <c r="EN57" s="2">
        <v>3618.98</v>
      </c>
      <c r="EO57" s="2">
        <v>1063.8499999999999</v>
      </c>
      <c r="EP57" s="1">
        <v>17855</v>
      </c>
      <c r="EQ57" s="1">
        <v>1916</v>
      </c>
      <c r="ER57" s="1">
        <v>458</v>
      </c>
      <c r="ES57" s="1">
        <v>2356</v>
      </c>
      <c r="ET57" s="1">
        <v>17541</v>
      </c>
      <c r="EU57" s="1">
        <v>30915</v>
      </c>
      <c r="EV57" s="1">
        <v>54197</v>
      </c>
      <c r="EW57" s="1">
        <v>3867</v>
      </c>
      <c r="EX57" s="1">
        <v>12067</v>
      </c>
      <c r="EY57" s="1">
        <v>2050</v>
      </c>
      <c r="EZ57" s="1">
        <v>144452</v>
      </c>
      <c r="FA57" s="1">
        <v>17153</v>
      </c>
      <c r="FB57" s="1">
        <v>69453</v>
      </c>
      <c r="FC57" s="1">
        <v>20060</v>
      </c>
      <c r="FD57" s="1">
        <v>14015</v>
      </c>
      <c r="FE57" s="1">
        <v>55085</v>
      </c>
      <c r="FF57" s="1">
        <v>3306</v>
      </c>
      <c r="FG57" s="1">
        <v>215515</v>
      </c>
      <c r="FH57" s="1">
        <v>23332</v>
      </c>
      <c r="FI57" s="1">
        <v>13727</v>
      </c>
      <c r="FJ57" s="1">
        <v>516</v>
      </c>
      <c r="FK57" s="1">
        <v>1844</v>
      </c>
      <c r="FL57" s="1">
        <v>3161</v>
      </c>
      <c r="FM57" s="1">
        <v>909</v>
      </c>
      <c r="FN57" s="1">
        <v>55964</v>
      </c>
      <c r="FO57" s="1">
        <v>304467</v>
      </c>
      <c r="FP57" s="1">
        <v>81</v>
      </c>
      <c r="FQ57" s="1">
        <v>101</v>
      </c>
      <c r="FR57" s="1">
        <v>133</v>
      </c>
      <c r="FS57" s="1">
        <v>82</v>
      </c>
      <c r="FT57" s="1">
        <v>68</v>
      </c>
      <c r="FU57" s="1">
        <v>118</v>
      </c>
      <c r="FV57" s="1">
        <v>78</v>
      </c>
      <c r="FW57" s="1">
        <v>117</v>
      </c>
      <c r="FX57" s="1">
        <v>70</v>
      </c>
      <c r="FY57" s="1">
        <v>62</v>
      </c>
      <c r="FZ57" s="3">
        <v>-0.73199999999999998</v>
      </c>
      <c r="GA57" s="3">
        <v>3.4000000000000002E-2</v>
      </c>
      <c r="GB57" s="3">
        <v>0.22600000000000001</v>
      </c>
      <c r="GC57" s="3">
        <v>-0.54200000000000004</v>
      </c>
      <c r="GD57" s="3">
        <v>-0.92500000000000004</v>
      </c>
      <c r="GE57" s="3">
        <v>-0.73299999999999998</v>
      </c>
      <c r="GF57" s="3">
        <v>-0.25600000000000001</v>
      </c>
      <c r="GG57" s="3">
        <v>0.64</v>
      </c>
      <c r="GH57" s="3">
        <v>0.85299999999999998</v>
      </c>
      <c r="GI57" s="3">
        <v>0.11600000000000001</v>
      </c>
      <c r="GJ57" s="3">
        <v>0.19400000000000001</v>
      </c>
      <c r="GK57" s="3">
        <v>-0.151</v>
      </c>
      <c r="GL57" s="3">
        <v>0.25</v>
      </c>
      <c r="GM57" s="3">
        <v>-0.127</v>
      </c>
      <c r="GN57" s="3">
        <v>0.23899999999999999</v>
      </c>
      <c r="GO57" s="3">
        <v>2.972</v>
      </c>
      <c r="GP57" s="3">
        <v>0.30599999999999999</v>
      </c>
      <c r="GQ57" s="3">
        <v>-0.11</v>
      </c>
      <c r="GR57" s="3">
        <v>-8.5999999999999993E-2</v>
      </c>
      <c r="GS57" s="3">
        <v>0.76400000000000001</v>
      </c>
      <c r="GT57" s="3">
        <v>-8.4000000000000005E-2</v>
      </c>
      <c r="GU57" s="3">
        <v>-6.8000000000000005E-2</v>
      </c>
      <c r="GV57" s="3">
        <v>0.28199999999999997</v>
      </c>
      <c r="GW57" s="3">
        <v>-0.36599999999999999</v>
      </c>
      <c r="GX57" s="3">
        <v>-0.26800000000000002</v>
      </c>
      <c r="GY57" s="3">
        <v>0.184</v>
      </c>
      <c r="GZ57" s="4">
        <v>73</v>
      </c>
      <c r="HA57" s="4">
        <v>82</v>
      </c>
      <c r="HB57" s="4">
        <v>52</v>
      </c>
      <c r="HC57" s="4">
        <v>81</v>
      </c>
      <c r="HD57" s="4">
        <v>38</v>
      </c>
      <c r="HE57" s="4">
        <v>90</v>
      </c>
      <c r="HF57" s="1">
        <v>48623</v>
      </c>
      <c r="HG57" s="1">
        <v>35046</v>
      </c>
      <c r="HH57" s="1">
        <v>28603</v>
      </c>
      <c r="HI57" s="1">
        <v>31911</v>
      </c>
      <c r="HJ57" s="1">
        <v>28030</v>
      </c>
      <c r="HK57" s="1">
        <v>33598</v>
      </c>
      <c r="HL57" s="1">
        <v>21446</v>
      </c>
      <c r="HM57" s="1">
        <v>57481</v>
      </c>
      <c r="HN57" s="1">
        <v>62862</v>
      </c>
      <c r="HO57" s="1">
        <v>61132</v>
      </c>
      <c r="HP57" s="1">
        <v>67489</v>
      </c>
      <c r="HQ57" s="1">
        <v>68999</v>
      </c>
      <c r="HR57" s="1">
        <v>51137</v>
      </c>
      <c r="HS57" s="1">
        <v>108545</v>
      </c>
      <c r="HT57" s="1">
        <v>71544</v>
      </c>
      <c r="HU57" s="1">
        <v>80929</v>
      </c>
      <c r="HV57" s="1">
        <v>43500</v>
      </c>
      <c r="HW57" s="1">
        <v>62196</v>
      </c>
      <c r="HX57" s="1">
        <v>40931</v>
      </c>
      <c r="HY57" s="1">
        <v>37692</v>
      </c>
      <c r="HZ57" s="1">
        <v>15057</v>
      </c>
      <c r="IA57" s="1">
        <v>15276</v>
      </c>
      <c r="IB57" s="1">
        <v>4623</v>
      </c>
      <c r="IC57" s="1">
        <v>7464</v>
      </c>
      <c r="ID57" s="1">
        <v>89541</v>
      </c>
      <c r="IE57" s="1">
        <v>11210</v>
      </c>
      <c r="IF57" s="1">
        <v>11739</v>
      </c>
      <c r="IG57" s="1">
        <v>11280</v>
      </c>
      <c r="IH57" s="1">
        <v>16131</v>
      </c>
      <c r="II57" s="1">
        <v>17637</v>
      </c>
      <c r="IJ57" s="1">
        <v>23351</v>
      </c>
      <c r="IK57" s="1">
        <v>24559</v>
      </c>
      <c r="IL57" s="1">
        <v>26104</v>
      </c>
      <c r="IM57" s="1">
        <v>21384</v>
      </c>
      <c r="IN57" s="1">
        <v>20308</v>
      </c>
      <c r="IO57" s="1">
        <v>14828</v>
      </c>
      <c r="IP57" s="1">
        <v>13374</v>
      </c>
      <c r="IQ57" s="1">
        <v>11141</v>
      </c>
      <c r="IR57" s="1">
        <v>8903</v>
      </c>
      <c r="IS57" s="1">
        <v>6516</v>
      </c>
      <c r="IT57" s="1">
        <v>10062</v>
      </c>
      <c r="IU57" s="1">
        <v>5620</v>
      </c>
      <c r="IV57" s="1">
        <v>7502</v>
      </c>
      <c r="IW57">
        <v>2113</v>
      </c>
      <c r="IX57">
        <v>1994</v>
      </c>
      <c r="IY57">
        <v>963</v>
      </c>
      <c r="IZ57">
        <v>78352</v>
      </c>
      <c r="JA57">
        <v>410</v>
      </c>
      <c r="JB57">
        <v>740537</v>
      </c>
      <c r="JC57">
        <v>10725</v>
      </c>
      <c r="JD57">
        <v>1139</v>
      </c>
      <c r="JE57">
        <v>997</v>
      </c>
      <c r="JF57">
        <v>1064</v>
      </c>
      <c r="JG57">
        <v>699</v>
      </c>
      <c r="JH57">
        <v>501</v>
      </c>
      <c r="JI57">
        <v>651</v>
      </c>
      <c r="JJ57">
        <v>315329</v>
      </c>
      <c r="JK57">
        <v>1963</v>
      </c>
      <c r="JL57">
        <v>143439</v>
      </c>
      <c r="JM57">
        <v>5508</v>
      </c>
      <c r="JN57">
        <v>14504</v>
      </c>
      <c r="JO57">
        <v>15354</v>
      </c>
      <c r="JP57">
        <v>16169</v>
      </c>
      <c r="JQ57">
        <v>9415</v>
      </c>
      <c r="JR57">
        <v>6250</v>
      </c>
      <c r="JS57">
        <v>4700</v>
      </c>
      <c r="JT57">
        <v>100010</v>
      </c>
      <c r="JU57">
        <v>617</v>
      </c>
      <c r="JV57">
        <v>88603</v>
      </c>
      <c r="JW57">
        <v>115001</v>
      </c>
      <c r="JX57">
        <v>302925</v>
      </c>
      <c r="JY57">
        <v>241074</v>
      </c>
      <c r="JZ57">
        <v>243996</v>
      </c>
      <c r="KA57">
        <v>146538</v>
      </c>
      <c r="KB57">
        <v>106401</v>
      </c>
      <c r="KC57">
        <v>54571</v>
      </c>
      <c r="KD57">
        <v>90462</v>
      </c>
      <c r="KE57">
        <v>54162</v>
      </c>
      <c r="KF57">
        <v>8339</v>
      </c>
      <c r="KG57">
        <v>108762</v>
      </c>
      <c r="KH57">
        <v>211910</v>
      </c>
      <c r="KI57">
        <v>33370</v>
      </c>
      <c r="KJ57">
        <v>165824</v>
      </c>
      <c r="KK57">
        <v>63115</v>
      </c>
      <c r="KL57">
        <v>21469</v>
      </c>
      <c r="KM57">
        <v>16365</v>
      </c>
      <c r="KN57">
        <v>39728</v>
      </c>
      <c r="KO57">
        <v>14299</v>
      </c>
      <c r="KP57">
        <v>36985</v>
      </c>
      <c r="KQ57">
        <v>469</v>
      </c>
      <c r="KR57">
        <v>51588</v>
      </c>
      <c r="KS57">
        <v>130464</v>
      </c>
      <c r="KT57">
        <v>186581</v>
      </c>
      <c r="KU57">
        <v>17785</v>
      </c>
      <c r="KV57">
        <v>81201</v>
      </c>
      <c r="KW57">
        <v>67597</v>
      </c>
      <c r="KX57">
        <v>107509</v>
      </c>
      <c r="KY57">
        <v>921173</v>
      </c>
      <c r="KZ57">
        <v>38827</v>
      </c>
      <c r="LA57">
        <v>71837</v>
      </c>
      <c r="LB57">
        <v>130242</v>
      </c>
      <c r="LC57">
        <v>122817</v>
      </c>
      <c r="LD57">
        <v>38301</v>
      </c>
      <c r="LE57">
        <v>91961</v>
      </c>
      <c r="LF57">
        <v>2364</v>
      </c>
      <c r="LG57">
        <v>1318387</v>
      </c>
      <c r="LH57">
        <v>10521</v>
      </c>
      <c r="LI57">
        <v>35773</v>
      </c>
      <c r="LJ57">
        <v>1362</v>
      </c>
      <c r="LK57">
        <v>15457</v>
      </c>
      <c r="LL57">
        <v>1215</v>
      </c>
      <c r="LM57">
        <v>4409</v>
      </c>
      <c r="LN57">
        <v>229</v>
      </c>
      <c r="LO57">
        <v>2218</v>
      </c>
      <c r="LP57">
        <v>133189</v>
      </c>
      <c r="LQ57">
        <v>32.483849999999997</v>
      </c>
    </row>
    <row r="58" spans="1:329" x14ac:dyDescent="0.25">
      <c r="A58" s="5" t="s">
        <v>380</v>
      </c>
      <c r="B58" s="5" t="s">
        <v>313</v>
      </c>
      <c r="C58" s="1">
        <v>3067856</v>
      </c>
      <c r="D58" s="1">
        <v>3082286</v>
      </c>
      <c r="E58" s="1">
        <v>3596052</v>
      </c>
      <c r="F58" s="1">
        <v>3811498</v>
      </c>
      <c r="G58" s="1">
        <v>3856598</v>
      </c>
      <c r="H58" s="1">
        <v>666790</v>
      </c>
      <c r="I58" s="1">
        <v>678826</v>
      </c>
      <c r="J58" s="1">
        <v>641833</v>
      </c>
      <c r="K58" s="1">
        <v>716196</v>
      </c>
      <c r="L58" s="1">
        <v>741345</v>
      </c>
      <c r="M58" s="1">
        <v>768244</v>
      </c>
      <c r="N58" s="1">
        <v>304861</v>
      </c>
      <c r="O58" s="1">
        <v>411335</v>
      </c>
      <c r="P58" s="1">
        <v>52048</v>
      </c>
      <c r="Q58" s="1">
        <v>82127</v>
      </c>
      <c r="R58" s="1">
        <v>13330</v>
      </c>
      <c r="S58" s="1">
        <v>65</v>
      </c>
      <c r="T58" s="1">
        <v>978865</v>
      </c>
      <c r="U58" s="1">
        <v>566671</v>
      </c>
      <c r="V58" s="1">
        <v>2265962</v>
      </c>
      <c r="W58" s="1">
        <v>2132883</v>
      </c>
      <c r="X58" s="1">
        <v>30802</v>
      </c>
      <c r="Y58" s="2">
        <v>21.19</v>
      </c>
      <c r="Z58" s="1">
        <v>85074</v>
      </c>
      <c r="AA58" s="1">
        <v>78383</v>
      </c>
      <c r="AB58" s="1">
        <v>77123</v>
      </c>
      <c r="AC58" s="1">
        <v>1179786</v>
      </c>
      <c r="AD58" s="1">
        <v>1107330</v>
      </c>
      <c r="AE58" s="1">
        <v>217562</v>
      </c>
      <c r="AF58" s="1">
        <v>139458</v>
      </c>
      <c r="AG58" s="1">
        <v>112095</v>
      </c>
      <c r="AH58" s="1">
        <v>96516</v>
      </c>
      <c r="AI58" s="1">
        <v>99217</v>
      </c>
      <c r="AJ58" s="1">
        <v>98887</v>
      </c>
      <c r="AK58" s="1">
        <v>104128</v>
      </c>
      <c r="AL58" s="1">
        <v>96026</v>
      </c>
      <c r="AM58" s="1">
        <v>79876</v>
      </c>
      <c r="AN58" s="1">
        <v>65918</v>
      </c>
      <c r="AO58" s="1">
        <v>52806</v>
      </c>
      <c r="AP58" s="1">
        <v>45809</v>
      </c>
      <c r="AQ58" s="1">
        <v>75503</v>
      </c>
      <c r="AR58" s="1">
        <v>1865730</v>
      </c>
      <c r="AS58" s="1">
        <v>1945768</v>
      </c>
      <c r="AT58" s="1">
        <v>2520307</v>
      </c>
      <c r="AU58" s="1">
        <v>567902</v>
      </c>
      <c r="AV58" s="1">
        <v>15420</v>
      </c>
      <c r="AW58" s="1">
        <v>269115</v>
      </c>
      <c r="AX58" s="1">
        <v>3806</v>
      </c>
      <c r="AY58" s="1">
        <v>7115</v>
      </c>
      <c r="AZ58" s="1">
        <v>92449</v>
      </c>
      <c r="BA58" s="1">
        <v>335525</v>
      </c>
      <c r="BB58" s="1">
        <v>3570919</v>
      </c>
      <c r="BC58" s="1">
        <v>2768709</v>
      </c>
      <c r="BD58" s="1">
        <v>473623</v>
      </c>
      <c r="BE58" s="1">
        <v>87500</v>
      </c>
      <c r="BF58" s="1">
        <v>89362</v>
      </c>
      <c r="BG58" s="1">
        <v>151725</v>
      </c>
      <c r="BH58" s="1">
        <v>1283803</v>
      </c>
      <c r="BI58" s="1">
        <v>52244</v>
      </c>
      <c r="BJ58" s="1">
        <v>80224</v>
      </c>
      <c r="BK58" s="1">
        <v>295235</v>
      </c>
      <c r="BL58" s="1">
        <v>243087</v>
      </c>
      <c r="BM58" s="1">
        <v>93023</v>
      </c>
      <c r="BN58" s="1">
        <v>279953</v>
      </c>
      <c r="BO58" s="1">
        <v>240037</v>
      </c>
      <c r="BP58" s="1">
        <v>3561320</v>
      </c>
      <c r="BQ58" s="1">
        <v>15878</v>
      </c>
      <c r="BR58" s="1">
        <v>1572908</v>
      </c>
      <c r="BS58" s="1">
        <v>89793</v>
      </c>
      <c r="BT58" s="1">
        <v>1882741</v>
      </c>
      <c r="BU58" s="1">
        <v>326381</v>
      </c>
      <c r="BV58" s="1">
        <v>389815</v>
      </c>
      <c r="BW58" s="1">
        <v>87312</v>
      </c>
      <c r="BX58" s="1">
        <v>13198</v>
      </c>
      <c r="BY58" s="1">
        <v>46072</v>
      </c>
      <c r="BZ58" s="1">
        <v>138442</v>
      </c>
      <c r="CA58" s="1">
        <v>12512</v>
      </c>
      <c r="CB58" s="1">
        <v>26981</v>
      </c>
      <c r="CC58" s="2">
        <v>2.16</v>
      </c>
      <c r="CD58" s="1">
        <v>282130</v>
      </c>
      <c r="CE58" s="1">
        <v>226506</v>
      </c>
      <c r="CF58" s="1">
        <v>92083</v>
      </c>
      <c r="CG58" s="1">
        <v>68867</v>
      </c>
      <c r="CH58" s="1">
        <v>28296</v>
      </c>
      <c r="CI58" s="1">
        <v>10879</v>
      </c>
      <c r="CJ58" s="1">
        <v>7435</v>
      </c>
      <c r="CK58" s="2">
        <v>48.18</v>
      </c>
      <c r="CL58" s="1">
        <v>82592</v>
      </c>
      <c r="CM58" s="1">
        <v>132027</v>
      </c>
      <c r="CN58" s="1">
        <v>100680</v>
      </c>
      <c r="CO58" s="1">
        <v>102418</v>
      </c>
      <c r="CP58" s="1">
        <v>119636</v>
      </c>
      <c r="CQ58" s="1">
        <v>94158</v>
      </c>
      <c r="CR58" s="1">
        <v>56219</v>
      </c>
      <c r="CS58" s="1">
        <v>28466</v>
      </c>
      <c r="CT58" s="1">
        <v>109266</v>
      </c>
      <c r="CU58" s="1">
        <v>274604</v>
      </c>
      <c r="CV58" s="1">
        <v>332326</v>
      </c>
      <c r="CW58" s="1">
        <v>16591</v>
      </c>
      <c r="CX58" s="1">
        <v>48212</v>
      </c>
      <c r="CY58" s="1">
        <v>74234</v>
      </c>
      <c r="CZ58" s="1">
        <v>90756</v>
      </c>
      <c r="DA58" s="1">
        <v>43251</v>
      </c>
      <c r="DB58" s="1">
        <v>41056</v>
      </c>
      <c r="DC58" s="1">
        <v>41052</v>
      </c>
      <c r="DD58" s="1">
        <v>34256</v>
      </c>
      <c r="DE58" s="1">
        <v>31330</v>
      </c>
      <c r="DF58" s="1">
        <v>29678</v>
      </c>
      <c r="DG58" s="1">
        <v>29715</v>
      </c>
      <c r="DH58" s="1">
        <v>26466</v>
      </c>
      <c r="DI58" s="1">
        <v>48643</v>
      </c>
      <c r="DJ58" s="1">
        <v>61942</v>
      </c>
      <c r="DK58" s="1">
        <v>78311</v>
      </c>
      <c r="DL58" s="1">
        <v>43630</v>
      </c>
      <c r="DM58" s="1">
        <v>34924</v>
      </c>
      <c r="DN58" s="1">
        <v>37153</v>
      </c>
      <c r="DO58" s="1">
        <v>44035</v>
      </c>
      <c r="DP58" s="1">
        <v>20604</v>
      </c>
      <c r="DQ58" s="1">
        <v>49965</v>
      </c>
      <c r="DR58" s="1">
        <v>62846</v>
      </c>
      <c r="DS58" s="1">
        <v>68368</v>
      </c>
      <c r="DT58" s="1">
        <v>62220</v>
      </c>
      <c r="DU58" s="1">
        <v>46127</v>
      </c>
      <c r="DV58" s="1">
        <v>34226</v>
      </c>
      <c r="DW58" s="2">
        <v>54872.89</v>
      </c>
      <c r="DX58" s="2">
        <v>25708.03</v>
      </c>
      <c r="DY58" s="2">
        <v>1779.99</v>
      </c>
      <c r="DZ58" s="2">
        <v>374.81</v>
      </c>
      <c r="EA58" s="2">
        <v>1935.62</v>
      </c>
      <c r="EB58" s="2">
        <v>1692.4</v>
      </c>
      <c r="EC58" s="2">
        <v>3065.26</v>
      </c>
      <c r="ED58" s="2">
        <v>8102.06</v>
      </c>
      <c r="EE58" s="2">
        <v>4605.84</v>
      </c>
      <c r="EF58" s="2">
        <v>1903.36</v>
      </c>
      <c r="EG58" s="2">
        <v>11766.65</v>
      </c>
      <c r="EH58" s="2">
        <v>2145.31</v>
      </c>
      <c r="EI58" s="2">
        <v>1035.8800000000001</v>
      </c>
      <c r="EJ58" s="2">
        <v>735.54</v>
      </c>
      <c r="EK58" s="2">
        <v>119.59</v>
      </c>
      <c r="EL58" s="2">
        <v>346.98</v>
      </c>
      <c r="EM58" s="2">
        <v>9831.31</v>
      </c>
      <c r="EN58" s="2">
        <v>4072.02</v>
      </c>
      <c r="EO58" s="2">
        <v>1360.27</v>
      </c>
      <c r="EP58" s="1">
        <v>36609</v>
      </c>
      <c r="EQ58" s="1">
        <v>4475</v>
      </c>
      <c r="ER58" s="1">
        <v>889</v>
      </c>
      <c r="ES58" s="1">
        <v>8601</v>
      </c>
      <c r="ET58" s="1">
        <v>41868</v>
      </c>
      <c r="EU58" s="1">
        <v>68521</v>
      </c>
      <c r="EV58" s="1">
        <v>108767</v>
      </c>
      <c r="EW58" s="1">
        <v>6728</v>
      </c>
      <c r="EX58" s="1">
        <v>22448</v>
      </c>
      <c r="EY58" s="1">
        <v>3396</v>
      </c>
      <c r="EZ58" s="1">
        <v>301522</v>
      </c>
      <c r="FA58" s="1">
        <v>18760</v>
      </c>
      <c r="FB58" s="1">
        <v>168755</v>
      </c>
      <c r="FC58" s="1">
        <v>43609</v>
      </c>
      <c r="FD58" s="1">
        <v>21258</v>
      </c>
      <c r="FE58" s="1">
        <v>120840</v>
      </c>
      <c r="FF58" s="1">
        <v>4585</v>
      </c>
      <c r="FG58" s="1">
        <v>382001</v>
      </c>
      <c r="FH58" s="1">
        <v>67758</v>
      </c>
      <c r="FI58" s="1">
        <v>13667</v>
      </c>
      <c r="FJ58" s="1">
        <v>792</v>
      </c>
      <c r="FK58" s="1">
        <v>2217</v>
      </c>
      <c r="FL58" s="1">
        <v>7735</v>
      </c>
      <c r="FM58" s="1">
        <v>1316</v>
      </c>
      <c r="FN58" s="1">
        <v>82844</v>
      </c>
      <c r="FO58" s="1">
        <v>601404</v>
      </c>
      <c r="FP58" s="1">
        <v>120</v>
      </c>
      <c r="FQ58" s="1">
        <v>105</v>
      </c>
      <c r="FR58" s="1">
        <v>85</v>
      </c>
      <c r="FS58" s="1">
        <v>132</v>
      </c>
      <c r="FT58" s="1">
        <v>136</v>
      </c>
      <c r="FU58" s="1">
        <v>88</v>
      </c>
      <c r="FV58" s="1">
        <v>122</v>
      </c>
      <c r="FW58" s="1">
        <v>84</v>
      </c>
      <c r="FX58" s="1">
        <v>137</v>
      </c>
      <c r="FY58" s="1">
        <v>85</v>
      </c>
      <c r="FZ58" s="3">
        <v>0</v>
      </c>
      <c r="GA58" s="3">
        <v>-0.68200000000000005</v>
      </c>
      <c r="GB58" s="3">
        <v>-2.1989999999999998</v>
      </c>
      <c r="GC58" s="3">
        <v>-0.51700000000000002</v>
      </c>
      <c r="GD58" s="3">
        <v>-0.36599999999999999</v>
      </c>
      <c r="GE58" s="3">
        <v>0.626</v>
      </c>
      <c r="GF58" s="3">
        <v>0.17599999999999999</v>
      </c>
      <c r="GG58" s="3">
        <v>-0.71299999999999997</v>
      </c>
      <c r="GH58" s="3">
        <v>-0.189</v>
      </c>
      <c r="GI58" s="3">
        <v>6.8959999999999999</v>
      </c>
      <c r="GJ58" s="3">
        <v>0.25700000000000001</v>
      </c>
      <c r="GK58" s="3">
        <v>3.9E-2</v>
      </c>
      <c r="GL58" s="3">
        <v>0.21</v>
      </c>
      <c r="GM58" s="3">
        <v>-6.3E-2</v>
      </c>
      <c r="GN58" s="3">
        <v>-0.39300000000000002</v>
      </c>
      <c r="GO58" s="3">
        <v>-0.316</v>
      </c>
      <c r="GP58" s="3">
        <v>0.57599999999999996</v>
      </c>
      <c r="GQ58" s="3">
        <v>0.40600000000000003</v>
      </c>
      <c r="GR58" s="3">
        <v>-0.373</v>
      </c>
      <c r="GS58" s="3">
        <v>0.76500000000000001</v>
      </c>
      <c r="GT58" s="3">
        <v>-0.189</v>
      </c>
      <c r="GU58" s="3">
        <v>-1.1339999999999999</v>
      </c>
      <c r="GV58" s="3">
        <v>3.6999999999999998E-2</v>
      </c>
      <c r="GW58" s="3">
        <v>0.98</v>
      </c>
      <c r="GX58" s="3">
        <v>0.752</v>
      </c>
      <c r="GY58" s="3">
        <v>-9.7000000000000003E-2</v>
      </c>
      <c r="GZ58" s="4">
        <v>94</v>
      </c>
      <c r="HA58" s="4">
        <v>86</v>
      </c>
      <c r="HB58" s="4">
        <v>100</v>
      </c>
      <c r="HC58" s="4">
        <v>92</v>
      </c>
      <c r="HD58" s="4">
        <v>114</v>
      </c>
      <c r="HE58" s="4">
        <v>93</v>
      </c>
      <c r="HF58" s="1">
        <v>3639</v>
      </c>
      <c r="HG58" s="1">
        <v>2701</v>
      </c>
      <c r="HH58" s="1">
        <v>2381</v>
      </c>
      <c r="HI58" s="1">
        <v>2397</v>
      </c>
      <c r="HJ58" s="1">
        <v>2293</v>
      </c>
      <c r="HK58" s="1">
        <v>2901</v>
      </c>
      <c r="HL58" s="1">
        <v>2393</v>
      </c>
      <c r="HM58" s="1">
        <v>5911</v>
      </c>
      <c r="HN58" s="1">
        <v>7241</v>
      </c>
      <c r="HO58" s="1">
        <v>8711</v>
      </c>
      <c r="HP58" s="1">
        <v>10715</v>
      </c>
      <c r="HQ58" s="1">
        <v>12404</v>
      </c>
      <c r="HR58" s="1">
        <v>10850</v>
      </c>
      <c r="HS58" s="1">
        <v>26526</v>
      </c>
      <c r="HT58" s="1">
        <v>22371</v>
      </c>
      <c r="HU58" s="1">
        <v>24993</v>
      </c>
      <c r="HV58" s="1">
        <v>17106</v>
      </c>
      <c r="HW58" s="1">
        <v>28514</v>
      </c>
      <c r="HX58" s="1">
        <v>20535</v>
      </c>
      <c r="HY58" s="1">
        <v>27261</v>
      </c>
      <c r="HZ58" s="1">
        <v>14724</v>
      </c>
      <c r="IA58" s="1">
        <v>15999</v>
      </c>
      <c r="IB58" s="1">
        <v>6707</v>
      </c>
      <c r="IC58" s="1">
        <v>7992</v>
      </c>
      <c r="ID58" s="1">
        <v>170203</v>
      </c>
      <c r="IE58" s="1">
        <v>4777</v>
      </c>
      <c r="IF58" s="1">
        <v>4915</v>
      </c>
      <c r="IG58" s="1">
        <v>8162</v>
      </c>
      <c r="IH58" s="1">
        <v>8457</v>
      </c>
      <c r="II58" s="1">
        <v>8530</v>
      </c>
      <c r="IJ58" s="1">
        <v>12689</v>
      </c>
      <c r="IK58" s="1">
        <v>17522</v>
      </c>
      <c r="IL58" s="1">
        <v>21252</v>
      </c>
      <c r="IM58" s="1">
        <v>21010</v>
      </c>
      <c r="IN58" s="1">
        <v>23655</v>
      </c>
      <c r="IO58" s="1">
        <v>21657</v>
      </c>
      <c r="IP58" s="1">
        <v>20508</v>
      </c>
      <c r="IQ58" s="1">
        <v>17903</v>
      </c>
      <c r="IR58" s="1">
        <v>15995</v>
      </c>
      <c r="IS58" s="1">
        <v>13448</v>
      </c>
      <c r="IT58" s="1">
        <v>23234</v>
      </c>
      <c r="IU58" s="1">
        <v>16662</v>
      </c>
      <c r="IV58" s="1">
        <v>27943</v>
      </c>
      <c r="IW58">
        <v>13233</v>
      </c>
      <c r="IX58">
        <v>16727</v>
      </c>
      <c r="IY58">
        <v>12296</v>
      </c>
      <c r="IZ58">
        <v>14777</v>
      </c>
      <c r="JA58">
        <v>644</v>
      </c>
      <c r="JB58">
        <v>178980</v>
      </c>
      <c r="JC58">
        <v>14680</v>
      </c>
      <c r="JD58">
        <v>3564</v>
      </c>
      <c r="JE58">
        <v>2198</v>
      </c>
      <c r="JF58">
        <v>2314</v>
      </c>
      <c r="JG58">
        <v>2084</v>
      </c>
      <c r="JH58">
        <v>3397</v>
      </c>
      <c r="JI58">
        <v>5960</v>
      </c>
      <c r="JJ58">
        <v>8617</v>
      </c>
      <c r="JK58">
        <v>278</v>
      </c>
      <c r="JL58">
        <v>59757</v>
      </c>
      <c r="JM58">
        <v>13512</v>
      </c>
      <c r="JN58">
        <v>25069</v>
      </c>
      <c r="JO58">
        <v>34026</v>
      </c>
      <c r="JP58">
        <v>40054</v>
      </c>
      <c r="JQ58">
        <v>37866</v>
      </c>
      <c r="JR58">
        <v>32868</v>
      </c>
      <c r="JS58">
        <v>49274</v>
      </c>
      <c r="JT58">
        <v>7068</v>
      </c>
      <c r="JU58">
        <v>122</v>
      </c>
      <c r="JV58">
        <v>31930</v>
      </c>
      <c r="JW58">
        <v>29267</v>
      </c>
      <c r="JX58">
        <v>54773</v>
      </c>
      <c r="JY58">
        <v>61246</v>
      </c>
      <c r="JZ58">
        <v>75895</v>
      </c>
      <c r="KA58">
        <v>61079</v>
      </c>
      <c r="KB58">
        <v>64363</v>
      </c>
      <c r="KC58">
        <v>35268</v>
      </c>
      <c r="KD58">
        <v>107867</v>
      </c>
      <c r="KE58">
        <v>9635</v>
      </c>
      <c r="KF58">
        <v>2123</v>
      </c>
      <c r="KG58">
        <v>34253</v>
      </c>
      <c r="KH58">
        <v>58059</v>
      </c>
      <c r="KI58">
        <v>17776</v>
      </c>
      <c r="KJ58">
        <v>155231</v>
      </c>
      <c r="KK58">
        <v>21790</v>
      </c>
      <c r="KL58">
        <v>4498</v>
      </c>
      <c r="KM58">
        <v>26044</v>
      </c>
      <c r="KN58">
        <v>33083</v>
      </c>
      <c r="KO58">
        <v>15285</v>
      </c>
      <c r="KP58">
        <v>60190</v>
      </c>
      <c r="KQ58">
        <v>496</v>
      </c>
      <c r="KR58">
        <v>31234</v>
      </c>
      <c r="KS58">
        <v>387419</v>
      </c>
      <c r="KT58">
        <v>119525</v>
      </c>
      <c r="KU58">
        <v>46942</v>
      </c>
      <c r="KV58">
        <v>148177</v>
      </c>
      <c r="KW58">
        <v>50032</v>
      </c>
      <c r="KX58">
        <v>34185</v>
      </c>
      <c r="KY58">
        <v>751549</v>
      </c>
      <c r="KZ58">
        <v>21232</v>
      </c>
      <c r="LA58">
        <v>199059</v>
      </c>
      <c r="LB58">
        <v>68169</v>
      </c>
      <c r="LC58">
        <v>148605</v>
      </c>
      <c r="LD58">
        <v>23127</v>
      </c>
      <c r="LE58">
        <v>42713</v>
      </c>
      <c r="LF58">
        <v>1523</v>
      </c>
      <c r="LG58">
        <v>432170</v>
      </c>
      <c r="LH58">
        <v>5854</v>
      </c>
      <c r="LI58">
        <v>26335</v>
      </c>
      <c r="LJ58">
        <v>3842</v>
      </c>
      <c r="LK58">
        <v>24886</v>
      </c>
      <c r="LL58">
        <v>7841</v>
      </c>
      <c r="LM58">
        <v>14722</v>
      </c>
      <c r="LN58">
        <v>1356</v>
      </c>
      <c r="LO58">
        <v>4682</v>
      </c>
      <c r="LP58">
        <v>2642.6626000000001</v>
      </c>
      <c r="LQ58">
        <v>1308.0474200000001</v>
      </c>
    </row>
    <row r="59" spans="1:329" x14ac:dyDescent="0.25">
      <c r="A59" s="5" t="s">
        <v>381</v>
      </c>
      <c r="B59" s="5" t="s">
        <v>314</v>
      </c>
      <c r="C59" s="1">
        <v>4829770</v>
      </c>
      <c r="D59" s="1">
        <v>5803534</v>
      </c>
      <c r="E59" s="1">
        <v>6396987</v>
      </c>
      <c r="F59" s="1">
        <v>7030637</v>
      </c>
      <c r="G59" s="1">
        <v>7399748</v>
      </c>
      <c r="H59" s="1">
        <v>2126485</v>
      </c>
      <c r="I59" s="1">
        <v>2576497</v>
      </c>
      <c r="J59" s="1">
        <v>2881172</v>
      </c>
      <c r="K59" s="1">
        <v>3263318</v>
      </c>
      <c r="L59" s="1">
        <v>3426647</v>
      </c>
      <c r="M59" s="1">
        <v>3396692</v>
      </c>
      <c r="N59" s="1">
        <v>677400</v>
      </c>
      <c r="O59" s="1">
        <v>2585918</v>
      </c>
      <c r="P59" s="1">
        <v>133374</v>
      </c>
      <c r="Q59" s="1">
        <v>359194</v>
      </c>
      <c r="R59" s="1">
        <v>19862</v>
      </c>
      <c r="S59" s="1">
        <v>293</v>
      </c>
      <c r="T59" s="1">
        <v>4749379</v>
      </c>
      <c r="U59" s="1">
        <v>2185455</v>
      </c>
      <c r="V59" s="1">
        <v>95803</v>
      </c>
      <c r="W59" s="1">
        <v>21815</v>
      </c>
      <c r="X59" s="1">
        <v>14297</v>
      </c>
      <c r="Y59" s="2">
        <v>29.42</v>
      </c>
      <c r="Z59" s="1">
        <v>545546</v>
      </c>
      <c r="AA59" s="1">
        <v>433533</v>
      </c>
      <c r="AB59" s="1">
        <v>381912</v>
      </c>
      <c r="AC59" s="1">
        <v>402679</v>
      </c>
      <c r="AD59" s="1">
        <v>794714</v>
      </c>
      <c r="AE59" s="1">
        <v>902570</v>
      </c>
      <c r="AF59" s="1">
        <v>654833</v>
      </c>
      <c r="AG59" s="1">
        <v>500647</v>
      </c>
      <c r="AH59" s="1">
        <v>394428</v>
      </c>
      <c r="AI59" s="1">
        <v>369302</v>
      </c>
      <c r="AJ59" s="1">
        <v>342941</v>
      </c>
      <c r="AK59" s="1">
        <v>336626</v>
      </c>
      <c r="AL59" s="1">
        <v>290327</v>
      </c>
      <c r="AM59" s="1">
        <v>224157</v>
      </c>
      <c r="AN59" s="1">
        <v>169458</v>
      </c>
      <c r="AO59" s="1">
        <v>115236</v>
      </c>
      <c r="AP59" s="1">
        <v>79272</v>
      </c>
      <c r="AQ59" s="1">
        <v>92457</v>
      </c>
      <c r="AR59" s="1">
        <v>3438654</v>
      </c>
      <c r="AS59" s="1">
        <v>3591983</v>
      </c>
      <c r="AT59" s="1">
        <v>3075278</v>
      </c>
      <c r="AU59" s="1">
        <v>1629362</v>
      </c>
      <c r="AV59" s="1">
        <v>44954</v>
      </c>
      <c r="AW59" s="1">
        <v>481037</v>
      </c>
      <c r="AX59" s="1">
        <v>17424</v>
      </c>
      <c r="AY59" s="1">
        <v>19820</v>
      </c>
      <c r="AZ59" s="1">
        <v>211883</v>
      </c>
      <c r="BA59" s="1">
        <v>1551157</v>
      </c>
      <c r="BB59" s="1">
        <v>5669648</v>
      </c>
      <c r="BC59" s="1">
        <v>2580365</v>
      </c>
      <c r="BD59" s="1">
        <v>1765363</v>
      </c>
      <c r="BE59" s="1">
        <v>346180</v>
      </c>
      <c r="BF59" s="1">
        <v>227918</v>
      </c>
      <c r="BG59" s="1">
        <v>749822</v>
      </c>
      <c r="BH59" s="1">
        <v>4472254</v>
      </c>
      <c r="BI59" s="1">
        <v>201292</v>
      </c>
      <c r="BJ59" s="1">
        <v>291628</v>
      </c>
      <c r="BK59" s="1">
        <v>1115292</v>
      </c>
      <c r="BL59" s="1">
        <v>1063936</v>
      </c>
      <c r="BM59" s="1">
        <v>413854</v>
      </c>
      <c r="BN59" s="1">
        <v>914483</v>
      </c>
      <c r="BO59" s="1">
        <v>471769</v>
      </c>
      <c r="BP59" s="1">
        <v>5608466</v>
      </c>
      <c r="BQ59" s="1">
        <v>97204</v>
      </c>
      <c r="BR59" s="1">
        <v>3831516</v>
      </c>
      <c r="BS59" s="1">
        <v>140231</v>
      </c>
      <c r="BT59" s="1">
        <v>1539515</v>
      </c>
      <c r="BU59" s="1">
        <v>1537160</v>
      </c>
      <c r="BV59" s="1">
        <v>1726158</v>
      </c>
      <c r="BW59" s="1">
        <v>408056</v>
      </c>
      <c r="BX59" s="1">
        <v>98990</v>
      </c>
      <c r="BY59" s="1">
        <v>357016</v>
      </c>
      <c r="BZ59" s="1">
        <v>451972</v>
      </c>
      <c r="CA59" s="1">
        <v>74239</v>
      </c>
      <c r="CB59" s="1">
        <v>146349</v>
      </c>
      <c r="CC59" s="2">
        <v>2.13</v>
      </c>
      <c r="CD59" s="1">
        <v>1359617</v>
      </c>
      <c r="CE59" s="1">
        <v>959760</v>
      </c>
      <c r="CF59" s="1">
        <v>450749</v>
      </c>
      <c r="CG59" s="1">
        <v>285888</v>
      </c>
      <c r="CH59" s="1">
        <v>126168</v>
      </c>
      <c r="CI59" s="1">
        <v>49631</v>
      </c>
      <c r="CJ59" s="1">
        <v>31505</v>
      </c>
      <c r="CK59" s="2">
        <v>42.21</v>
      </c>
      <c r="CL59" s="1">
        <v>280324</v>
      </c>
      <c r="CM59" s="1">
        <v>866571</v>
      </c>
      <c r="CN59" s="1">
        <v>590337</v>
      </c>
      <c r="CO59" s="1">
        <v>504446</v>
      </c>
      <c r="CP59" s="1">
        <v>473560</v>
      </c>
      <c r="CQ59" s="1">
        <v>315084</v>
      </c>
      <c r="CR59" s="1">
        <v>160169</v>
      </c>
      <c r="CS59" s="1">
        <v>72828</v>
      </c>
      <c r="CT59" s="1">
        <v>303750</v>
      </c>
      <c r="CU59" s="1">
        <v>1627075</v>
      </c>
      <c r="CV59" s="1">
        <v>1332495</v>
      </c>
      <c r="CW59" s="1">
        <v>25463</v>
      </c>
      <c r="CX59" s="1">
        <v>45847</v>
      </c>
      <c r="CY59" s="1">
        <v>55450</v>
      </c>
      <c r="CZ59" s="1">
        <v>252572</v>
      </c>
      <c r="DA59" s="1">
        <v>166784</v>
      </c>
      <c r="DB59" s="1">
        <v>177286</v>
      </c>
      <c r="DC59" s="1">
        <v>209694</v>
      </c>
      <c r="DD59" s="1">
        <v>194716</v>
      </c>
      <c r="DE59" s="1">
        <v>199422</v>
      </c>
      <c r="DF59" s="1">
        <v>200399</v>
      </c>
      <c r="DG59" s="1">
        <v>200677</v>
      </c>
      <c r="DH59" s="1">
        <v>177633</v>
      </c>
      <c r="DI59" s="1">
        <v>316994</v>
      </c>
      <c r="DJ59" s="1">
        <v>364183</v>
      </c>
      <c r="DK59" s="1">
        <v>381290</v>
      </c>
      <c r="DL59" s="1">
        <v>163143</v>
      </c>
      <c r="DM59" s="1">
        <v>106978</v>
      </c>
      <c r="DN59" s="1">
        <v>91595</v>
      </c>
      <c r="DO59" s="1">
        <v>59953</v>
      </c>
      <c r="DP59" s="1">
        <v>33273</v>
      </c>
      <c r="DQ59" s="1">
        <v>49012</v>
      </c>
      <c r="DR59" s="1">
        <v>51595</v>
      </c>
      <c r="DS59" s="1">
        <v>52428</v>
      </c>
      <c r="DT59" s="1">
        <v>48023</v>
      </c>
      <c r="DU59" s="1">
        <v>40436</v>
      </c>
      <c r="DV59" s="1">
        <v>33268</v>
      </c>
      <c r="DW59" s="2">
        <v>46176.62</v>
      </c>
      <c r="DX59" s="2">
        <v>21715.16</v>
      </c>
      <c r="DY59" s="2">
        <v>1389.06</v>
      </c>
      <c r="DZ59" s="2">
        <v>287.60000000000002</v>
      </c>
      <c r="EA59" s="2">
        <v>1612.61</v>
      </c>
      <c r="EB59" s="2">
        <v>1255.46</v>
      </c>
      <c r="EC59" s="2">
        <v>2499.25</v>
      </c>
      <c r="ED59" s="2">
        <v>6927.89</v>
      </c>
      <c r="EE59" s="2">
        <v>3927.93</v>
      </c>
      <c r="EF59" s="2">
        <v>1558.15</v>
      </c>
      <c r="EG59" s="2">
        <v>10028.459999999999</v>
      </c>
      <c r="EH59" s="2">
        <v>1758.94</v>
      </c>
      <c r="EI59" s="2">
        <v>861.81</v>
      </c>
      <c r="EJ59" s="2">
        <v>618.14</v>
      </c>
      <c r="EK59" s="2">
        <v>98.56</v>
      </c>
      <c r="EL59" s="2">
        <v>329.75</v>
      </c>
      <c r="EM59" s="2">
        <v>8369.99</v>
      </c>
      <c r="EN59" s="2">
        <v>3584.72</v>
      </c>
      <c r="EO59" s="2">
        <v>1068.3</v>
      </c>
      <c r="EP59" s="1">
        <v>19524</v>
      </c>
      <c r="EQ59" s="1">
        <v>2636</v>
      </c>
      <c r="ER59" s="1">
        <v>462</v>
      </c>
      <c r="ES59" s="1">
        <v>3004</v>
      </c>
      <c r="ET59" s="1">
        <v>17369</v>
      </c>
      <c r="EU59" s="1">
        <v>29077</v>
      </c>
      <c r="EV59" s="1">
        <v>56875</v>
      </c>
      <c r="EW59" s="1">
        <v>3985</v>
      </c>
      <c r="EX59" s="1">
        <v>12960</v>
      </c>
      <c r="EY59" s="1">
        <v>2445</v>
      </c>
      <c r="EZ59" s="1">
        <v>148709</v>
      </c>
      <c r="FA59" s="1">
        <v>17209</v>
      </c>
      <c r="FB59" s="1">
        <v>44734</v>
      </c>
      <c r="FC59" s="1">
        <v>22899</v>
      </c>
      <c r="FD59" s="1">
        <v>15491</v>
      </c>
      <c r="FE59" s="1">
        <v>59745</v>
      </c>
      <c r="FF59" s="1">
        <v>3046</v>
      </c>
      <c r="FG59" s="1">
        <v>240525</v>
      </c>
      <c r="FH59" s="1">
        <v>22581</v>
      </c>
      <c r="FI59" s="1">
        <v>13478</v>
      </c>
      <c r="FJ59" s="1">
        <v>429</v>
      </c>
      <c r="FK59" s="1">
        <v>2019</v>
      </c>
      <c r="FL59" s="1">
        <v>3957</v>
      </c>
      <c r="FM59" s="1">
        <v>826</v>
      </c>
      <c r="FN59" s="1">
        <v>62407</v>
      </c>
      <c r="FO59" s="1">
        <v>326800</v>
      </c>
      <c r="FP59" s="1">
        <v>168</v>
      </c>
      <c r="FQ59" s="1">
        <v>161</v>
      </c>
      <c r="FR59" s="1">
        <v>124</v>
      </c>
      <c r="FS59" s="1">
        <v>164</v>
      </c>
      <c r="FT59" s="1">
        <v>165</v>
      </c>
      <c r="FU59" s="1">
        <v>159</v>
      </c>
      <c r="FV59" s="1">
        <v>169</v>
      </c>
      <c r="FW59" s="1">
        <v>160</v>
      </c>
      <c r="FX59" s="1">
        <v>172</v>
      </c>
      <c r="FY59" s="1">
        <v>170</v>
      </c>
      <c r="FZ59" s="3">
        <v>3.4000000000000002E-2</v>
      </c>
      <c r="GA59" s="3">
        <v>-1.4610000000000001</v>
      </c>
      <c r="GB59" s="3">
        <v>-1.3660000000000001</v>
      </c>
      <c r="GC59" s="3">
        <v>-6.0000000000000001E-3</v>
      </c>
      <c r="GD59" s="3">
        <v>7.6999999999999999E-2</v>
      </c>
      <c r="GE59" s="3">
        <v>8.1000000000000003E-2</v>
      </c>
      <c r="GF59" s="3">
        <v>0.307</v>
      </c>
      <c r="GG59" s="3">
        <v>0.11700000000000001</v>
      </c>
      <c r="GH59" s="3">
        <v>1.3560000000000001</v>
      </c>
      <c r="GI59" s="3">
        <v>-0.51400000000000001</v>
      </c>
      <c r="GJ59" s="3">
        <v>-0.754</v>
      </c>
      <c r="GK59" s="3">
        <v>-7.4999999999999997E-2</v>
      </c>
      <c r="GL59" s="3">
        <v>3.2000000000000001E-2</v>
      </c>
      <c r="GM59" s="3">
        <v>-7.5999999999999998E-2</v>
      </c>
      <c r="GN59" s="3">
        <v>-0.38900000000000001</v>
      </c>
      <c r="GO59" s="3">
        <v>-0.35099999999999998</v>
      </c>
      <c r="GP59" s="3">
        <v>-0.53</v>
      </c>
      <c r="GQ59" s="3">
        <v>0.216</v>
      </c>
      <c r="GR59" s="3">
        <v>7.3999999999999996E-2</v>
      </c>
      <c r="GS59" s="3">
        <v>-0.59699999999999998</v>
      </c>
      <c r="GT59" s="3">
        <v>-3.4000000000000002E-2</v>
      </c>
      <c r="GU59" s="3">
        <v>-0.29099999999999998</v>
      </c>
      <c r="GV59" s="3">
        <v>0.161</v>
      </c>
      <c r="GW59" s="3">
        <v>-0.129</v>
      </c>
      <c r="GX59" s="3">
        <v>0.23899999999999999</v>
      </c>
      <c r="GY59" s="3">
        <v>0.186</v>
      </c>
      <c r="GZ59" s="4">
        <v>99</v>
      </c>
      <c r="HA59" s="4">
        <v>95</v>
      </c>
      <c r="HB59" s="4">
        <v>102</v>
      </c>
      <c r="HC59" s="4">
        <v>84</v>
      </c>
      <c r="HD59" s="4">
        <v>129</v>
      </c>
      <c r="HE59" s="4">
        <v>98</v>
      </c>
      <c r="HF59" s="1">
        <v>8736</v>
      </c>
      <c r="HG59" s="1">
        <v>6290</v>
      </c>
      <c r="HH59" s="1">
        <v>4815</v>
      </c>
      <c r="HI59" s="1">
        <v>3989</v>
      </c>
      <c r="HJ59" s="1">
        <v>3746</v>
      </c>
      <c r="HK59" s="1">
        <v>4185</v>
      </c>
      <c r="HL59" s="1">
        <v>3529</v>
      </c>
      <c r="HM59" s="1">
        <v>9160</v>
      </c>
      <c r="HN59" s="1">
        <v>12474</v>
      </c>
      <c r="HO59" s="1">
        <v>16739</v>
      </c>
      <c r="HP59" s="1">
        <v>21129</v>
      </c>
      <c r="HQ59" s="1">
        <v>28446</v>
      </c>
      <c r="HR59" s="1">
        <v>29873</v>
      </c>
      <c r="HS59" s="1">
        <v>81198</v>
      </c>
      <c r="HT59" s="1">
        <v>76723</v>
      </c>
      <c r="HU59" s="1">
        <v>76934</v>
      </c>
      <c r="HV59" s="1">
        <v>48885</v>
      </c>
      <c r="HW59" s="1">
        <v>62022</v>
      </c>
      <c r="HX59" s="1">
        <v>37200</v>
      </c>
      <c r="HY59" s="1">
        <v>36433</v>
      </c>
      <c r="HZ59" s="1">
        <v>14650</v>
      </c>
      <c r="IA59" s="1">
        <v>12910</v>
      </c>
      <c r="IB59" s="1">
        <v>4774</v>
      </c>
      <c r="IC59" s="1">
        <v>4237</v>
      </c>
      <c r="ID59" s="1">
        <v>147883</v>
      </c>
      <c r="IE59" s="1">
        <v>15917</v>
      </c>
      <c r="IF59" s="1">
        <v>14765</v>
      </c>
      <c r="IG59" s="1">
        <v>17500</v>
      </c>
      <c r="IH59" s="1">
        <v>18178</v>
      </c>
      <c r="II59" s="1">
        <v>17731</v>
      </c>
      <c r="IJ59" s="1">
        <v>28146</v>
      </c>
      <c r="IK59" s="1">
        <v>43624</v>
      </c>
      <c r="IL59" s="1">
        <v>77017</v>
      </c>
      <c r="IM59" s="1">
        <v>116590</v>
      </c>
      <c r="IN59" s="1">
        <v>166941</v>
      </c>
      <c r="IO59" s="1">
        <v>200113</v>
      </c>
      <c r="IP59" s="1">
        <v>213755</v>
      </c>
      <c r="IQ59" s="1">
        <v>222137</v>
      </c>
      <c r="IR59" s="1">
        <v>188851</v>
      </c>
      <c r="IS59" s="1">
        <v>167544</v>
      </c>
      <c r="IT59" s="1">
        <v>260974</v>
      </c>
      <c r="IU59" s="1">
        <v>159000</v>
      </c>
      <c r="IV59" s="1">
        <v>176740</v>
      </c>
      <c r="IW59">
        <v>45631</v>
      </c>
      <c r="IX59">
        <v>29182</v>
      </c>
      <c r="IY59">
        <v>17137</v>
      </c>
      <c r="IZ59">
        <v>58442</v>
      </c>
      <c r="JA59">
        <v>685</v>
      </c>
      <c r="JB59">
        <v>335706</v>
      </c>
      <c r="JC59">
        <v>78405</v>
      </c>
      <c r="JD59">
        <v>5302</v>
      </c>
      <c r="JE59">
        <v>15842</v>
      </c>
      <c r="JF59">
        <v>21249</v>
      </c>
      <c r="JG59">
        <v>16481</v>
      </c>
      <c r="JH59">
        <v>9186</v>
      </c>
      <c r="JI59">
        <v>8022</v>
      </c>
      <c r="JJ59">
        <v>28081</v>
      </c>
      <c r="JK59">
        <v>906</v>
      </c>
      <c r="JL59">
        <v>220258</v>
      </c>
      <c r="JM59">
        <v>115101</v>
      </c>
      <c r="JN59">
        <v>86460</v>
      </c>
      <c r="JO59">
        <v>244514</v>
      </c>
      <c r="JP59">
        <v>464208</v>
      </c>
      <c r="JQ59">
        <v>569035</v>
      </c>
      <c r="JR59">
        <v>300048</v>
      </c>
      <c r="JS59">
        <v>242578</v>
      </c>
      <c r="JT59">
        <v>38785</v>
      </c>
      <c r="JU59">
        <v>722</v>
      </c>
      <c r="JV59">
        <v>176571</v>
      </c>
      <c r="JW59">
        <v>207004</v>
      </c>
      <c r="JX59">
        <v>485128</v>
      </c>
      <c r="JY59">
        <v>674359</v>
      </c>
      <c r="JZ59">
        <v>619212</v>
      </c>
      <c r="KA59">
        <v>280212</v>
      </c>
      <c r="KB59">
        <v>169853</v>
      </c>
      <c r="KC59">
        <v>72820</v>
      </c>
      <c r="KD59">
        <v>115730</v>
      </c>
      <c r="KE59">
        <v>14691</v>
      </c>
      <c r="KF59">
        <v>10574</v>
      </c>
      <c r="KG59">
        <v>165170</v>
      </c>
      <c r="KH59">
        <v>240510</v>
      </c>
      <c r="KI59">
        <v>75686</v>
      </c>
      <c r="KJ59">
        <v>430818</v>
      </c>
      <c r="KK59">
        <v>123518</v>
      </c>
      <c r="KL59">
        <v>16858</v>
      </c>
      <c r="KM59">
        <v>76653</v>
      </c>
      <c r="KN59">
        <v>154926</v>
      </c>
      <c r="KO59">
        <v>63654</v>
      </c>
      <c r="KP59">
        <v>181531</v>
      </c>
      <c r="KQ59">
        <v>2008</v>
      </c>
      <c r="KR59">
        <v>168627</v>
      </c>
      <c r="KS59">
        <v>256814</v>
      </c>
      <c r="KT59">
        <v>409044</v>
      </c>
      <c r="KU59">
        <v>71940</v>
      </c>
      <c r="KV59">
        <v>341904</v>
      </c>
      <c r="KW59">
        <v>142407</v>
      </c>
      <c r="KX59">
        <v>154562</v>
      </c>
      <c r="KY59">
        <v>2288751</v>
      </c>
      <c r="KZ59">
        <v>51385</v>
      </c>
      <c r="LA59">
        <v>210653</v>
      </c>
      <c r="LB59">
        <v>171092</v>
      </c>
      <c r="LC59">
        <v>147741</v>
      </c>
      <c r="LD59">
        <v>109462</v>
      </c>
      <c r="LE59">
        <v>120557</v>
      </c>
      <c r="LF59">
        <v>2254</v>
      </c>
      <c r="LG59">
        <v>2140912</v>
      </c>
      <c r="LH59">
        <v>94931</v>
      </c>
      <c r="LI59">
        <v>277923</v>
      </c>
      <c r="LJ59">
        <v>26809</v>
      </c>
      <c r="LK59">
        <v>103032</v>
      </c>
      <c r="LL59">
        <v>31057</v>
      </c>
      <c r="LM59">
        <v>71966</v>
      </c>
      <c r="LN59">
        <v>13867</v>
      </c>
      <c r="LO59">
        <v>40392</v>
      </c>
      <c r="LP59">
        <v>5747.0742200000004</v>
      </c>
      <c r="LQ59">
        <v>1160.46666</v>
      </c>
    </row>
    <row r="60" spans="1:329" x14ac:dyDescent="0.25">
      <c r="A60" s="5" t="s">
        <v>382</v>
      </c>
      <c r="B60" s="5" t="s">
        <v>315</v>
      </c>
      <c r="C60" s="1">
        <v>4149088</v>
      </c>
      <c r="D60" s="1">
        <v>4945868</v>
      </c>
      <c r="E60" s="1">
        <v>5095749</v>
      </c>
      <c r="F60" s="1">
        <v>5649662</v>
      </c>
      <c r="G60" s="1">
        <v>5998573</v>
      </c>
      <c r="H60" s="1">
        <v>1566092</v>
      </c>
      <c r="I60" s="1">
        <v>1691669</v>
      </c>
      <c r="J60" s="1">
        <v>1681780</v>
      </c>
      <c r="K60" s="1">
        <v>1915573</v>
      </c>
      <c r="L60" s="1">
        <v>2031179</v>
      </c>
      <c r="M60" s="1">
        <v>2014235</v>
      </c>
      <c r="N60" s="1">
        <v>638142</v>
      </c>
      <c r="O60" s="1">
        <v>1277431</v>
      </c>
      <c r="P60" s="1">
        <v>98662</v>
      </c>
      <c r="Q60" s="1">
        <v>264649</v>
      </c>
      <c r="R60" s="1">
        <v>11348</v>
      </c>
      <c r="S60" s="1">
        <v>313</v>
      </c>
      <c r="T60" s="1">
        <v>4690425</v>
      </c>
      <c r="U60" s="1">
        <v>898341</v>
      </c>
      <c r="V60" s="1">
        <v>60896</v>
      </c>
      <c r="W60" s="1">
        <v>3061</v>
      </c>
      <c r="X60" s="1">
        <v>702</v>
      </c>
      <c r="Y60" s="2">
        <v>30.21</v>
      </c>
      <c r="Z60" s="1">
        <v>480352</v>
      </c>
      <c r="AA60" s="1">
        <v>443313</v>
      </c>
      <c r="AB60" s="1">
        <v>417702</v>
      </c>
      <c r="AC60" s="1">
        <v>401402</v>
      </c>
      <c r="AD60" s="1">
        <v>459692</v>
      </c>
      <c r="AE60" s="1">
        <v>512341</v>
      </c>
      <c r="AF60" s="1">
        <v>453283</v>
      </c>
      <c r="AG60" s="1">
        <v>411394</v>
      </c>
      <c r="AH60" s="1">
        <v>360814</v>
      </c>
      <c r="AI60" s="1">
        <v>339706</v>
      </c>
      <c r="AJ60" s="1">
        <v>308751</v>
      </c>
      <c r="AK60" s="1">
        <v>285924</v>
      </c>
      <c r="AL60" s="1">
        <v>236186</v>
      </c>
      <c r="AM60" s="1">
        <v>182722</v>
      </c>
      <c r="AN60" s="1">
        <v>137949</v>
      </c>
      <c r="AO60" s="1">
        <v>93423</v>
      </c>
      <c r="AP60" s="1">
        <v>61453</v>
      </c>
      <c r="AQ60" s="1">
        <v>63254</v>
      </c>
      <c r="AR60" s="1">
        <v>2863997</v>
      </c>
      <c r="AS60" s="1">
        <v>2785664</v>
      </c>
      <c r="AT60" s="1">
        <v>1249376</v>
      </c>
      <c r="AU60" s="1">
        <v>886259</v>
      </c>
      <c r="AV60" s="1">
        <v>32192</v>
      </c>
      <c r="AW60" s="1">
        <v>259504</v>
      </c>
      <c r="AX60" s="1">
        <v>12650</v>
      </c>
      <c r="AY60" s="1">
        <v>28564</v>
      </c>
      <c r="AZ60" s="1">
        <v>94541</v>
      </c>
      <c r="BA60" s="1">
        <v>3086700</v>
      </c>
      <c r="BB60" s="1">
        <v>4308293</v>
      </c>
      <c r="BC60" s="1">
        <v>1901548</v>
      </c>
      <c r="BD60" s="1">
        <v>1384511</v>
      </c>
      <c r="BE60" s="1">
        <v>351226</v>
      </c>
      <c r="BF60" s="1">
        <v>186168</v>
      </c>
      <c r="BG60" s="1">
        <v>484840</v>
      </c>
      <c r="BH60" s="1">
        <v>3447201</v>
      </c>
      <c r="BI60" s="1">
        <v>542069</v>
      </c>
      <c r="BJ60" s="1">
        <v>447166</v>
      </c>
      <c r="BK60" s="1">
        <v>1021090</v>
      </c>
      <c r="BL60" s="1">
        <v>660967</v>
      </c>
      <c r="BM60" s="1">
        <v>219723</v>
      </c>
      <c r="BN60" s="1">
        <v>385186</v>
      </c>
      <c r="BO60" s="1">
        <v>171000</v>
      </c>
      <c r="BP60" s="1">
        <v>4234904</v>
      </c>
      <c r="BQ60" s="1">
        <v>6469</v>
      </c>
      <c r="BR60" s="1">
        <v>2661512</v>
      </c>
      <c r="BS60" s="1">
        <v>133707</v>
      </c>
      <c r="BT60" s="1">
        <v>1433216</v>
      </c>
      <c r="BU60" s="1">
        <v>1254379</v>
      </c>
      <c r="BV60" s="1">
        <v>661194</v>
      </c>
      <c r="BW60" s="1">
        <v>399106</v>
      </c>
      <c r="BX60" s="1">
        <v>100440</v>
      </c>
      <c r="BY60" s="1">
        <v>279942</v>
      </c>
      <c r="BZ60" s="1">
        <v>297033</v>
      </c>
      <c r="CA60" s="1">
        <v>67601</v>
      </c>
      <c r="CB60" s="1">
        <v>109276</v>
      </c>
      <c r="CC60" s="2">
        <v>2.92</v>
      </c>
      <c r="CD60" s="1">
        <v>501337</v>
      </c>
      <c r="CE60" s="1">
        <v>467179</v>
      </c>
      <c r="CF60" s="1">
        <v>309556</v>
      </c>
      <c r="CG60" s="1">
        <v>270437</v>
      </c>
      <c r="CH60" s="1">
        <v>180965</v>
      </c>
      <c r="CI60" s="1">
        <v>93724</v>
      </c>
      <c r="CJ60" s="1">
        <v>92374</v>
      </c>
      <c r="CK60" s="2">
        <v>45.24</v>
      </c>
      <c r="CL60" s="1">
        <v>111734</v>
      </c>
      <c r="CM60" s="1">
        <v>403848</v>
      </c>
      <c r="CN60" s="1">
        <v>397603</v>
      </c>
      <c r="CO60" s="1">
        <v>360313</v>
      </c>
      <c r="CP60" s="1">
        <v>306857</v>
      </c>
      <c r="CQ60" s="1">
        <v>197414</v>
      </c>
      <c r="CR60" s="1">
        <v>98770</v>
      </c>
      <c r="CS60" s="1">
        <v>39035</v>
      </c>
      <c r="CT60" s="1">
        <v>247019</v>
      </c>
      <c r="CU60" s="1">
        <v>793064</v>
      </c>
      <c r="CV60" s="1">
        <v>875488</v>
      </c>
      <c r="CW60" s="1">
        <v>17117</v>
      </c>
      <c r="CX60" s="1">
        <v>40970</v>
      </c>
      <c r="CY60" s="1">
        <v>46322</v>
      </c>
      <c r="CZ60" s="1">
        <v>175274</v>
      </c>
      <c r="DA60" s="1">
        <v>125997</v>
      </c>
      <c r="DB60" s="1">
        <v>131769</v>
      </c>
      <c r="DC60" s="1">
        <v>145278</v>
      </c>
      <c r="DD60" s="1">
        <v>125563</v>
      </c>
      <c r="DE60" s="1">
        <v>119517</v>
      </c>
      <c r="DF60" s="1">
        <v>113116</v>
      </c>
      <c r="DG60" s="1">
        <v>109496</v>
      </c>
      <c r="DH60" s="1">
        <v>94923</v>
      </c>
      <c r="DI60" s="1">
        <v>166091</v>
      </c>
      <c r="DJ60" s="1">
        <v>183810</v>
      </c>
      <c r="DK60" s="1">
        <v>195327</v>
      </c>
      <c r="DL60" s="1">
        <v>87664</v>
      </c>
      <c r="DM60" s="1">
        <v>57874</v>
      </c>
      <c r="DN60" s="1">
        <v>50357</v>
      </c>
      <c r="DO60" s="1">
        <v>33518</v>
      </c>
      <c r="DP60" s="1">
        <v>29537</v>
      </c>
      <c r="DQ60" s="1">
        <v>43090</v>
      </c>
      <c r="DR60" s="1">
        <v>45686</v>
      </c>
      <c r="DS60" s="1">
        <v>46005</v>
      </c>
      <c r="DT60" s="1">
        <v>41215</v>
      </c>
      <c r="DU60" s="1">
        <v>36300</v>
      </c>
      <c r="DV60" s="1">
        <v>29297</v>
      </c>
      <c r="DW60" s="2">
        <v>43625.4</v>
      </c>
      <c r="DX60" s="2">
        <v>20571.72</v>
      </c>
      <c r="DY60" s="2">
        <v>1300.1400000000001</v>
      </c>
      <c r="DZ60" s="2">
        <v>275.55</v>
      </c>
      <c r="EA60" s="2">
        <v>1536.42</v>
      </c>
      <c r="EB60" s="2">
        <v>1200.5</v>
      </c>
      <c r="EC60" s="2">
        <v>2368.2800000000002</v>
      </c>
      <c r="ED60" s="2">
        <v>6577.94</v>
      </c>
      <c r="EE60" s="2">
        <v>3711.01</v>
      </c>
      <c r="EF60" s="2">
        <v>1470.83</v>
      </c>
      <c r="EG60" s="2">
        <v>9415</v>
      </c>
      <c r="EH60" s="2">
        <v>1664.76</v>
      </c>
      <c r="EI60" s="2">
        <v>808.67</v>
      </c>
      <c r="EJ60" s="2">
        <v>582.97</v>
      </c>
      <c r="EK60" s="2">
        <v>92.08</v>
      </c>
      <c r="EL60" s="2">
        <v>311.05</v>
      </c>
      <c r="EM60" s="2">
        <v>7913.15</v>
      </c>
      <c r="EN60" s="2">
        <v>3413.93</v>
      </c>
      <c r="EO60" s="2">
        <v>983.12</v>
      </c>
      <c r="EP60" s="1">
        <v>18900</v>
      </c>
      <c r="EQ60" s="1">
        <v>2659</v>
      </c>
      <c r="ER60" s="1">
        <v>417</v>
      </c>
      <c r="ES60" s="1">
        <v>3114</v>
      </c>
      <c r="ET60" s="1">
        <v>17640</v>
      </c>
      <c r="EU60" s="1">
        <v>27507</v>
      </c>
      <c r="EV60" s="1">
        <v>53225</v>
      </c>
      <c r="EW60" s="1">
        <v>3518</v>
      </c>
      <c r="EX60" s="1">
        <v>13089</v>
      </c>
      <c r="EY60" s="1">
        <v>2658</v>
      </c>
      <c r="EZ60" s="1">
        <v>143124</v>
      </c>
      <c r="FA60" s="1">
        <v>16504</v>
      </c>
      <c r="FB60" s="1">
        <v>71911</v>
      </c>
      <c r="FC60" s="1">
        <v>24031</v>
      </c>
      <c r="FD60" s="1">
        <v>15603</v>
      </c>
      <c r="FE60" s="1">
        <v>60182</v>
      </c>
      <c r="FF60" s="1">
        <v>3114</v>
      </c>
      <c r="FG60" s="1">
        <v>246697</v>
      </c>
      <c r="FH60" s="1">
        <v>33196</v>
      </c>
      <c r="FI60" s="1">
        <v>12882</v>
      </c>
      <c r="FJ60" s="1">
        <v>384</v>
      </c>
      <c r="FK60" s="1">
        <v>1981</v>
      </c>
      <c r="FL60" s="1">
        <v>4364</v>
      </c>
      <c r="FM60" s="1">
        <v>843</v>
      </c>
      <c r="FN60" s="1">
        <v>64193</v>
      </c>
      <c r="FO60" s="1">
        <v>325046</v>
      </c>
      <c r="FP60" s="1">
        <v>156</v>
      </c>
      <c r="FQ60" s="1">
        <v>200</v>
      </c>
      <c r="FR60" s="1">
        <v>193</v>
      </c>
      <c r="FS60" s="1">
        <v>143</v>
      </c>
      <c r="FT60" s="1">
        <v>213</v>
      </c>
      <c r="FU60" s="1">
        <v>204</v>
      </c>
      <c r="FV60" s="1">
        <v>149</v>
      </c>
      <c r="FW60" s="1">
        <v>166</v>
      </c>
      <c r="FX60" s="1">
        <v>135</v>
      </c>
      <c r="FY60" s="1">
        <v>218</v>
      </c>
      <c r="FZ60" s="3">
        <v>-0.54400000000000004</v>
      </c>
      <c r="GA60" s="3">
        <v>-0.40799999999999997</v>
      </c>
      <c r="GB60" s="3">
        <v>-0.997</v>
      </c>
      <c r="GC60" s="3">
        <v>1.655</v>
      </c>
      <c r="GD60" s="3">
        <v>-2.3E-2</v>
      </c>
      <c r="GE60" s="3">
        <v>1.7000000000000001E-2</v>
      </c>
      <c r="GF60" s="3">
        <v>6.6000000000000003E-2</v>
      </c>
      <c r="GG60" s="3">
        <v>-0.373</v>
      </c>
      <c r="GH60" s="3">
        <v>0.47299999999999998</v>
      </c>
      <c r="GI60" s="3">
        <v>-0.57599999999999996</v>
      </c>
      <c r="GJ60" s="3">
        <v>-0.49399999999999999</v>
      </c>
      <c r="GK60" s="3">
        <v>0.152</v>
      </c>
      <c r="GL60" s="3">
        <v>-0.156</v>
      </c>
      <c r="GM60" s="3">
        <v>0.16900000000000001</v>
      </c>
      <c r="GN60" s="3">
        <v>-0.23799999999999999</v>
      </c>
      <c r="GO60" s="3">
        <v>1.6E-2</v>
      </c>
      <c r="GP60" s="3">
        <v>0.30499999999999999</v>
      </c>
      <c r="GQ60" s="3">
        <v>-0.26800000000000002</v>
      </c>
      <c r="GR60" s="3">
        <v>-0.29399999999999998</v>
      </c>
      <c r="GS60" s="3">
        <v>-0.21199999999999999</v>
      </c>
      <c r="GT60" s="3">
        <v>-0.17100000000000001</v>
      </c>
      <c r="GU60" s="3">
        <v>-0.40600000000000003</v>
      </c>
      <c r="GV60" s="3">
        <v>-0.21</v>
      </c>
      <c r="GW60" s="3">
        <v>8.7999999999999995E-2</v>
      </c>
      <c r="GX60" s="3">
        <v>-7.3999999999999996E-2</v>
      </c>
      <c r="GY60" s="3">
        <v>-8.9999999999999993E-3</v>
      </c>
      <c r="GZ60" s="4">
        <v>93</v>
      </c>
      <c r="HA60" s="4">
        <v>85</v>
      </c>
      <c r="HB60" s="4">
        <v>100</v>
      </c>
      <c r="HC60" s="4">
        <v>66</v>
      </c>
      <c r="HD60" s="4">
        <v>134</v>
      </c>
      <c r="HE60" s="4">
        <v>104</v>
      </c>
      <c r="HF60" s="1">
        <v>12119</v>
      </c>
      <c r="HG60" s="1">
        <v>7378</v>
      </c>
      <c r="HH60" s="1">
        <v>5838</v>
      </c>
      <c r="HI60" s="1">
        <v>5174</v>
      </c>
      <c r="HJ60" s="1">
        <v>4889</v>
      </c>
      <c r="HK60" s="1">
        <v>6519</v>
      </c>
      <c r="HL60" s="1">
        <v>4673</v>
      </c>
      <c r="HM60" s="1">
        <v>12256</v>
      </c>
      <c r="HN60" s="1">
        <v>16815</v>
      </c>
      <c r="HO60" s="1">
        <v>18990</v>
      </c>
      <c r="HP60" s="1">
        <v>23922</v>
      </c>
      <c r="HQ60" s="1">
        <v>30945</v>
      </c>
      <c r="HR60" s="1">
        <v>30761</v>
      </c>
      <c r="HS60" s="1">
        <v>77699</v>
      </c>
      <c r="HT60" s="1">
        <v>57024</v>
      </c>
      <c r="HU60" s="1">
        <v>60854</v>
      </c>
      <c r="HV60" s="1">
        <v>36833</v>
      </c>
      <c r="HW60" s="1">
        <v>52074</v>
      </c>
      <c r="HX60" s="1">
        <v>33273</v>
      </c>
      <c r="HY60" s="1">
        <v>37061</v>
      </c>
      <c r="HZ60" s="1">
        <v>16651</v>
      </c>
      <c r="IA60" s="1">
        <v>15730</v>
      </c>
      <c r="IB60" s="1">
        <v>5362</v>
      </c>
      <c r="IC60" s="1">
        <v>5111</v>
      </c>
      <c r="ID60" s="1">
        <v>138589</v>
      </c>
      <c r="IE60" s="1">
        <v>11809</v>
      </c>
      <c r="IF60" s="1">
        <v>10965</v>
      </c>
      <c r="IG60" s="1">
        <v>14589</v>
      </c>
      <c r="IH60" s="1">
        <v>17086</v>
      </c>
      <c r="II60" s="1">
        <v>13952</v>
      </c>
      <c r="IJ60" s="1">
        <v>21322</v>
      </c>
      <c r="IK60" s="1">
        <v>30415</v>
      </c>
      <c r="IL60" s="1">
        <v>53523</v>
      </c>
      <c r="IM60" s="1">
        <v>72456</v>
      </c>
      <c r="IN60" s="1">
        <v>88624</v>
      </c>
      <c r="IO60" s="1">
        <v>90034</v>
      </c>
      <c r="IP60" s="1">
        <v>99631</v>
      </c>
      <c r="IQ60" s="1">
        <v>95803</v>
      </c>
      <c r="IR60" s="1">
        <v>75138</v>
      </c>
      <c r="IS60" s="1">
        <v>64773</v>
      </c>
      <c r="IT60" s="1">
        <v>102306</v>
      </c>
      <c r="IU60" s="1">
        <v>66958</v>
      </c>
      <c r="IV60" s="1">
        <v>84640</v>
      </c>
      <c r="IW60">
        <v>22094</v>
      </c>
      <c r="IX60">
        <v>14183</v>
      </c>
      <c r="IY60">
        <v>5538</v>
      </c>
      <c r="IZ60">
        <v>28141</v>
      </c>
      <c r="JA60">
        <v>643</v>
      </c>
      <c r="JB60">
        <v>418624</v>
      </c>
      <c r="JC60">
        <v>42133</v>
      </c>
      <c r="JD60">
        <v>9026</v>
      </c>
      <c r="JE60">
        <v>8852</v>
      </c>
      <c r="JF60">
        <v>8479</v>
      </c>
      <c r="JG60">
        <v>5873</v>
      </c>
      <c r="JH60">
        <v>5664</v>
      </c>
      <c r="JI60">
        <v>5264</v>
      </c>
      <c r="JJ60">
        <v>39253</v>
      </c>
      <c r="JK60">
        <v>1213</v>
      </c>
      <c r="JL60">
        <v>201756</v>
      </c>
      <c r="JM60">
        <v>52684</v>
      </c>
      <c r="JN60">
        <v>71133</v>
      </c>
      <c r="JO60">
        <v>124750</v>
      </c>
      <c r="JP60">
        <v>169083</v>
      </c>
      <c r="JQ60">
        <v>186447</v>
      </c>
      <c r="JR60">
        <v>103630</v>
      </c>
      <c r="JS60">
        <v>99010</v>
      </c>
      <c r="JT60">
        <v>32800</v>
      </c>
      <c r="JU60">
        <v>1075</v>
      </c>
      <c r="JV60">
        <v>89764</v>
      </c>
      <c r="JW60">
        <v>99875</v>
      </c>
      <c r="JX60">
        <v>172291</v>
      </c>
      <c r="JY60">
        <v>276111</v>
      </c>
      <c r="JZ60">
        <v>359111</v>
      </c>
      <c r="KA60">
        <v>224568</v>
      </c>
      <c r="KB60">
        <v>171289</v>
      </c>
      <c r="KC60">
        <v>72239</v>
      </c>
      <c r="KD60">
        <v>121501</v>
      </c>
      <c r="KE60">
        <v>41518</v>
      </c>
      <c r="KF60">
        <v>6873</v>
      </c>
      <c r="KG60">
        <v>255594</v>
      </c>
      <c r="KH60">
        <v>201543</v>
      </c>
      <c r="KI60">
        <v>54580</v>
      </c>
      <c r="KJ60">
        <v>231376</v>
      </c>
      <c r="KK60">
        <v>76205</v>
      </c>
      <c r="KL60">
        <v>10407</v>
      </c>
      <c r="KM60">
        <v>28031</v>
      </c>
      <c r="KN60">
        <v>52288</v>
      </c>
      <c r="KO60">
        <v>34659</v>
      </c>
      <c r="KP60">
        <v>63655</v>
      </c>
      <c r="KQ60">
        <v>831</v>
      </c>
      <c r="KR60">
        <v>172512</v>
      </c>
      <c r="KS60">
        <v>104060</v>
      </c>
      <c r="KT60">
        <v>190216</v>
      </c>
      <c r="KU60">
        <v>46593</v>
      </c>
      <c r="KV60">
        <v>257211</v>
      </c>
      <c r="KW60">
        <v>115137</v>
      </c>
      <c r="KX60">
        <v>58180</v>
      </c>
      <c r="KY60">
        <v>1585102</v>
      </c>
      <c r="KZ60">
        <v>33567</v>
      </c>
      <c r="LA60">
        <v>94610</v>
      </c>
      <c r="LB60">
        <v>97866</v>
      </c>
      <c r="LC60">
        <v>51676</v>
      </c>
      <c r="LD60">
        <v>30111</v>
      </c>
      <c r="LE60">
        <v>106671</v>
      </c>
      <c r="LF60">
        <v>1866</v>
      </c>
      <c r="LG60">
        <v>800198</v>
      </c>
      <c r="LH60">
        <v>337709</v>
      </c>
      <c r="LI60">
        <v>324072</v>
      </c>
      <c r="LJ60">
        <v>14149</v>
      </c>
      <c r="LK60">
        <v>38696</v>
      </c>
      <c r="LL60">
        <v>19372</v>
      </c>
      <c r="LM60">
        <v>30225</v>
      </c>
      <c r="LN60">
        <v>6685</v>
      </c>
      <c r="LO60">
        <v>15643</v>
      </c>
      <c r="LP60">
        <v>1987.59204</v>
      </c>
      <c r="LQ60">
        <v>2710.2518500000001</v>
      </c>
    </row>
    <row r="61" spans="1:329" x14ac:dyDescent="0.25">
      <c r="A61" s="5" t="s">
        <v>383</v>
      </c>
      <c r="B61" s="5" t="s">
        <v>316</v>
      </c>
      <c r="C61" s="1">
        <v>3806473</v>
      </c>
      <c r="D61" s="1">
        <v>4492745</v>
      </c>
      <c r="E61" s="1">
        <v>4861147</v>
      </c>
      <c r="F61" s="1">
        <v>5155697</v>
      </c>
      <c r="G61" s="1">
        <v>5412611</v>
      </c>
      <c r="H61" s="1">
        <v>1126005</v>
      </c>
      <c r="I61" s="1">
        <v>1296175</v>
      </c>
      <c r="J61" s="1">
        <v>1413146</v>
      </c>
      <c r="K61" s="1">
        <v>1543348</v>
      </c>
      <c r="L61" s="1">
        <v>1633104</v>
      </c>
      <c r="M61" s="1">
        <v>1642502</v>
      </c>
      <c r="N61" s="1">
        <v>974562</v>
      </c>
      <c r="O61" s="1">
        <v>568786</v>
      </c>
      <c r="P61" s="1">
        <v>99154</v>
      </c>
      <c r="Q61" s="1">
        <v>141563</v>
      </c>
      <c r="R61" s="1">
        <v>17263</v>
      </c>
      <c r="S61" s="1">
        <v>640</v>
      </c>
      <c r="T61" s="1">
        <v>4682525</v>
      </c>
      <c r="U61" s="1">
        <v>420666</v>
      </c>
      <c r="V61" s="1">
        <v>52506</v>
      </c>
      <c r="W61" s="1">
        <v>1867</v>
      </c>
      <c r="X61" s="1">
        <v>26</v>
      </c>
      <c r="Y61" s="2">
        <v>31.46</v>
      </c>
      <c r="Z61" s="1">
        <v>418177</v>
      </c>
      <c r="AA61" s="1">
        <v>406260</v>
      </c>
      <c r="AB61" s="1">
        <v>414143</v>
      </c>
      <c r="AC61" s="1">
        <v>409470</v>
      </c>
      <c r="AD61" s="1">
        <v>389152</v>
      </c>
      <c r="AE61" s="1">
        <v>375781</v>
      </c>
      <c r="AF61" s="1">
        <v>334549</v>
      </c>
      <c r="AG61" s="1">
        <v>326805</v>
      </c>
      <c r="AH61" s="1">
        <v>317971</v>
      </c>
      <c r="AI61" s="1">
        <v>315318</v>
      </c>
      <c r="AJ61" s="1">
        <v>293618</v>
      </c>
      <c r="AK61" s="1">
        <v>278781</v>
      </c>
      <c r="AL61" s="1">
        <v>242782</v>
      </c>
      <c r="AM61" s="1">
        <v>199528</v>
      </c>
      <c r="AN61" s="1">
        <v>159427</v>
      </c>
      <c r="AO61" s="1">
        <v>113449</v>
      </c>
      <c r="AP61" s="1">
        <v>79412</v>
      </c>
      <c r="AQ61" s="1">
        <v>81077</v>
      </c>
      <c r="AR61" s="1">
        <v>2558600</v>
      </c>
      <c r="AS61" s="1">
        <v>2597097</v>
      </c>
      <c r="AT61" s="1">
        <v>455689</v>
      </c>
      <c r="AU61" s="1">
        <v>174474</v>
      </c>
      <c r="AV61" s="1">
        <v>11189</v>
      </c>
      <c r="AW61" s="1">
        <v>54452</v>
      </c>
      <c r="AX61" s="1">
        <v>1484</v>
      </c>
      <c r="AY61" s="1">
        <v>9885</v>
      </c>
      <c r="AZ61" s="1">
        <v>19457</v>
      </c>
      <c r="BA61" s="1">
        <v>4429196</v>
      </c>
      <c r="BB61" s="1">
        <v>3917119</v>
      </c>
      <c r="BC61" s="1">
        <v>1467609</v>
      </c>
      <c r="BD61" s="1">
        <v>1522280</v>
      </c>
      <c r="BE61" s="1">
        <v>319063</v>
      </c>
      <c r="BF61" s="1">
        <v>222191</v>
      </c>
      <c r="BG61" s="1">
        <v>385976</v>
      </c>
      <c r="BH61" s="1">
        <v>3118497</v>
      </c>
      <c r="BI61" s="1">
        <v>630720</v>
      </c>
      <c r="BJ61" s="1">
        <v>458867</v>
      </c>
      <c r="BK61" s="1">
        <v>902227</v>
      </c>
      <c r="BL61" s="1">
        <v>538756</v>
      </c>
      <c r="BM61" s="1">
        <v>181221</v>
      </c>
      <c r="BN61" s="1">
        <v>289657</v>
      </c>
      <c r="BO61" s="1">
        <v>117049</v>
      </c>
      <c r="BP61" s="1">
        <v>3837089</v>
      </c>
      <c r="BQ61" s="1">
        <v>4456</v>
      </c>
      <c r="BR61" s="1">
        <v>2156152</v>
      </c>
      <c r="BS61" s="1">
        <v>114393</v>
      </c>
      <c r="BT61" s="1">
        <v>1562088</v>
      </c>
      <c r="BU61" s="1">
        <v>1210036</v>
      </c>
      <c r="BV61" s="1">
        <v>333312</v>
      </c>
      <c r="BW61" s="1">
        <v>457945</v>
      </c>
      <c r="BX61" s="1">
        <v>66467</v>
      </c>
      <c r="BY61" s="1">
        <v>214297</v>
      </c>
      <c r="BZ61" s="1">
        <v>322291</v>
      </c>
      <c r="CA61" s="1">
        <v>46670</v>
      </c>
      <c r="CB61" s="1">
        <v>101638</v>
      </c>
      <c r="CC61" s="2">
        <v>3.31</v>
      </c>
      <c r="CD61" s="1">
        <v>271912</v>
      </c>
      <c r="CE61" s="1">
        <v>354844</v>
      </c>
      <c r="CF61" s="1">
        <v>267797</v>
      </c>
      <c r="CG61" s="1">
        <v>256612</v>
      </c>
      <c r="CH61" s="1">
        <v>189342</v>
      </c>
      <c r="CI61" s="1">
        <v>100248</v>
      </c>
      <c r="CJ61" s="1">
        <v>102593</v>
      </c>
      <c r="CK61" s="2">
        <v>48.92</v>
      </c>
      <c r="CL61" s="1">
        <v>74819</v>
      </c>
      <c r="CM61" s="1">
        <v>254546</v>
      </c>
      <c r="CN61" s="1">
        <v>294741</v>
      </c>
      <c r="CO61" s="1">
        <v>299730</v>
      </c>
      <c r="CP61" s="1">
        <v>269375</v>
      </c>
      <c r="CQ61" s="1">
        <v>194940</v>
      </c>
      <c r="CR61" s="1">
        <v>110482</v>
      </c>
      <c r="CS61" s="1">
        <v>44715</v>
      </c>
      <c r="CT61" s="1">
        <v>121762</v>
      </c>
      <c r="CU61" s="1">
        <v>516551</v>
      </c>
      <c r="CV61" s="1">
        <v>905036</v>
      </c>
      <c r="CW61" s="1">
        <v>15678</v>
      </c>
      <c r="CX61" s="1">
        <v>41612</v>
      </c>
      <c r="CY61" s="1">
        <v>46872</v>
      </c>
      <c r="CZ61" s="1">
        <v>148589</v>
      </c>
      <c r="DA61" s="1">
        <v>104283</v>
      </c>
      <c r="DB61" s="1">
        <v>108519</v>
      </c>
      <c r="DC61" s="1">
        <v>113705</v>
      </c>
      <c r="DD61" s="1">
        <v>96342</v>
      </c>
      <c r="DE61" s="1">
        <v>89826</v>
      </c>
      <c r="DF61" s="1">
        <v>84337</v>
      </c>
      <c r="DG61" s="1">
        <v>80814</v>
      </c>
      <c r="DH61" s="1">
        <v>72107</v>
      </c>
      <c r="DI61" s="1">
        <v>130423</v>
      </c>
      <c r="DJ61" s="1">
        <v>150684</v>
      </c>
      <c r="DK61" s="1">
        <v>167241</v>
      </c>
      <c r="DL61" s="1">
        <v>78165</v>
      </c>
      <c r="DM61" s="1">
        <v>51018</v>
      </c>
      <c r="DN61" s="1">
        <v>42361</v>
      </c>
      <c r="DO61" s="1">
        <v>24932</v>
      </c>
      <c r="DP61" s="1">
        <v>27486</v>
      </c>
      <c r="DQ61" s="1">
        <v>43716</v>
      </c>
      <c r="DR61" s="1">
        <v>47831</v>
      </c>
      <c r="DS61" s="1">
        <v>48831</v>
      </c>
      <c r="DT61" s="1">
        <v>44168</v>
      </c>
      <c r="DU61" s="1">
        <v>36755</v>
      </c>
      <c r="DV61" s="1">
        <v>28580</v>
      </c>
      <c r="DW61" s="2">
        <v>44654.5</v>
      </c>
      <c r="DX61" s="2">
        <v>21169.439999999999</v>
      </c>
      <c r="DY61" s="2">
        <v>1350.45</v>
      </c>
      <c r="DZ61" s="2">
        <v>292.05</v>
      </c>
      <c r="EA61" s="2">
        <v>1568.15</v>
      </c>
      <c r="EB61" s="2">
        <v>1222.22</v>
      </c>
      <c r="EC61" s="2">
        <v>2452.4499999999998</v>
      </c>
      <c r="ED61" s="2">
        <v>6722.18</v>
      </c>
      <c r="EE61" s="2">
        <v>3842.76</v>
      </c>
      <c r="EF61" s="2">
        <v>1520.71</v>
      </c>
      <c r="EG61" s="2">
        <v>9479.5499999999993</v>
      </c>
      <c r="EH61" s="2">
        <v>1718.26</v>
      </c>
      <c r="EI61" s="2">
        <v>829.02</v>
      </c>
      <c r="EJ61" s="2">
        <v>596.32000000000005</v>
      </c>
      <c r="EK61" s="2">
        <v>94.68</v>
      </c>
      <c r="EL61" s="2">
        <v>309.66000000000003</v>
      </c>
      <c r="EM61" s="2">
        <v>8161.97</v>
      </c>
      <c r="EN61" s="2">
        <v>3500.24</v>
      </c>
      <c r="EO61" s="2">
        <v>993.83</v>
      </c>
      <c r="EP61" s="1">
        <v>16968</v>
      </c>
      <c r="EQ61" s="1">
        <v>1965</v>
      </c>
      <c r="ER61" s="1">
        <v>404</v>
      </c>
      <c r="ES61" s="1">
        <v>2276</v>
      </c>
      <c r="ET61" s="1">
        <v>16516</v>
      </c>
      <c r="EU61" s="1">
        <v>27872</v>
      </c>
      <c r="EV61" s="1">
        <v>50033</v>
      </c>
      <c r="EW61" s="1">
        <v>3488</v>
      </c>
      <c r="EX61" s="1">
        <v>11878</v>
      </c>
      <c r="EY61" s="1">
        <v>2200</v>
      </c>
      <c r="EZ61" s="1">
        <v>134828</v>
      </c>
      <c r="FA61" s="1">
        <v>16776</v>
      </c>
      <c r="FB61" s="1">
        <v>75110</v>
      </c>
      <c r="FC61" s="1">
        <v>20223</v>
      </c>
      <c r="FD61" s="1">
        <v>14120</v>
      </c>
      <c r="FE61" s="1">
        <v>53144</v>
      </c>
      <c r="FF61" s="1">
        <v>3224</v>
      </c>
      <c r="FG61" s="1">
        <v>217051</v>
      </c>
      <c r="FH61" s="1">
        <v>27045</v>
      </c>
      <c r="FI61" s="1">
        <v>13406</v>
      </c>
      <c r="FJ61" s="1">
        <v>460</v>
      </c>
      <c r="FK61" s="1">
        <v>1850</v>
      </c>
      <c r="FL61" s="1">
        <v>3354</v>
      </c>
      <c r="FM61" s="1">
        <v>875</v>
      </c>
      <c r="FN61" s="1">
        <v>57213</v>
      </c>
      <c r="FO61" s="1">
        <v>294545</v>
      </c>
      <c r="FP61" s="1">
        <v>125</v>
      </c>
      <c r="FQ61" s="1">
        <v>135</v>
      </c>
      <c r="FR61" s="1">
        <v>131</v>
      </c>
      <c r="FS61" s="1">
        <v>107</v>
      </c>
      <c r="FT61" s="1">
        <v>119</v>
      </c>
      <c r="FU61" s="1">
        <v>147</v>
      </c>
      <c r="FV61" s="1">
        <v>123</v>
      </c>
      <c r="FW61" s="1">
        <v>134</v>
      </c>
      <c r="FX61" s="1">
        <v>115</v>
      </c>
      <c r="FY61" s="1">
        <v>168</v>
      </c>
      <c r="FZ61" s="3">
        <v>-0.63200000000000001</v>
      </c>
      <c r="GA61" s="3">
        <v>0.57299999999999995</v>
      </c>
      <c r="GB61" s="3">
        <v>7.1999999999999995E-2</v>
      </c>
      <c r="GC61" s="3">
        <v>3.504</v>
      </c>
      <c r="GD61" s="3">
        <v>-0.93500000000000005</v>
      </c>
      <c r="GE61" s="3">
        <v>8.9999999999999993E-3</v>
      </c>
      <c r="GF61" s="3">
        <v>-0.95499999999999996</v>
      </c>
      <c r="GG61" s="3">
        <v>1.2999999999999999E-2</v>
      </c>
      <c r="GH61" s="3">
        <v>0.27700000000000002</v>
      </c>
      <c r="GI61" s="3">
        <v>0.36399999999999999</v>
      </c>
      <c r="GJ61" s="3">
        <v>-0.18</v>
      </c>
      <c r="GK61" s="3">
        <v>-0.22</v>
      </c>
      <c r="GL61" s="3">
        <v>0.31</v>
      </c>
      <c r="GM61" s="3">
        <v>0.05</v>
      </c>
      <c r="GN61" s="3">
        <v>-0.33600000000000002</v>
      </c>
      <c r="GO61" s="3">
        <v>2.1000000000000001E-2</v>
      </c>
      <c r="GP61" s="3">
        <v>0.23699999999999999</v>
      </c>
      <c r="GQ61" s="3">
        <v>-2E-3</v>
      </c>
      <c r="GR61" s="3">
        <v>-0.13700000000000001</v>
      </c>
      <c r="GS61" s="3">
        <v>-0.109</v>
      </c>
      <c r="GT61" s="3">
        <v>8.3000000000000004E-2</v>
      </c>
      <c r="GU61" s="3">
        <v>0.40899999999999997</v>
      </c>
      <c r="GV61" s="3">
        <v>-0.24299999999999999</v>
      </c>
      <c r="GW61" s="3">
        <v>-0.35099999999999998</v>
      </c>
      <c r="GX61" s="3">
        <v>-0.13600000000000001</v>
      </c>
      <c r="GY61" s="3">
        <v>-0.121</v>
      </c>
      <c r="GZ61" s="4">
        <v>91</v>
      </c>
      <c r="HA61" s="4">
        <v>94</v>
      </c>
      <c r="HB61" s="4">
        <v>85</v>
      </c>
      <c r="HC61" s="4">
        <v>70</v>
      </c>
      <c r="HD61" s="4">
        <v>99</v>
      </c>
      <c r="HE61" s="4">
        <v>102</v>
      </c>
      <c r="HF61" s="1">
        <v>20969</v>
      </c>
      <c r="HG61" s="1">
        <v>13130</v>
      </c>
      <c r="HH61" s="1">
        <v>15621</v>
      </c>
      <c r="HI61" s="1">
        <v>16941</v>
      </c>
      <c r="HJ61" s="1">
        <v>19199</v>
      </c>
      <c r="HK61" s="1">
        <v>26555</v>
      </c>
      <c r="HL61" s="1">
        <v>20147</v>
      </c>
      <c r="HM61" s="1">
        <v>55662</v>
      </c>
      <c r="HN61" s="1">
        <v>63413</v>
      </c>
      <c r="HO61" s="1">
        <v>68498</v>
      </c>
      <c r="HP61" s="1">
        <v>74079</v>
      </c>
      <c r="HQ61" s="1">
        <v>78528</v>
      </c>
      <c r="HR61" s="1">
        <v>57985</v>
      </c>
      <c r="HS61" s="1">
        <v>93542</v>
      </c>
      <c r="HT61" s="1">
        <v>51480</v>
      </c>
      <c r="HU61" s="1">
        <v>53305</v>
      </c>
      <c r="HV61" s="1">
        <v>28565</v>
      </c>
      <c r="HW61" s="1">
        <v>41378</v>
      </c>
      <c r="HX61" s="1">
        <v>28666</v>
      </c>
      <c r="HY61" s="1">
        <v>32565</v>
      </c>
      <c r="HZ61" s="1">
        <v>14568</v>
      </c>
      <c r="IA61" s="1">
        <v>12361</v>
      </c>
      <c r="IB61" s="1">
        <v>4089</v>
      </c>
      <c r="IC61" s="1">
        <v>4365</v>
      </c>
      <c r="ID61" s="1">
        <v>86824</v>
      </c>
      <c r="IE61" s="1">
        <v>11865</v>
      </c>
      <c r="IF61" s="1">
        <v>11720</v>
      </c>
      <c r="IG61" s="1">
        <v>12822</v>
      </c>
      <c r="IH61" s="1">
        <v>15190</v>
      </c>
      <c r="II61" s="1">
        <v>17402</v>
      </c>
      <c r="IJ61" s="1">
        <v>26470</v>
      </c>
      <c r="IK61" s="1">
        <v>30812</v>
      </c>
      <c r="IL61" s="1">
        <v>38678</v>
      </c>
      <c r="IM61" s="1">
        <v>39562</v>
      </c>
      <c r="IN61" s="1">
        <v>41999</v>
      </c>
      <c r="IO61" s="1">
        <v>33777</v>
      </c>
      <c r="IP61" s="1">
        <v>35195</v>
      </c>
      <c r="IQ61" s="1">
        <v>26789</v>
      </c>
      <c r="IR61" s="1">
        <v>21624</v>
      </c>
      <c r="IS61" s="1">
        <v>17816</v>
      </c>
      <c r="IT61" s="1">
        <v>29829</v>
      </c>
      <c r="IU61" s="1">
        <v>18831</v>
      </c>
      <c r="IV61" s="1">
        <v>27145</v>
      </c>
      <c r="IW61">
        <v>5685</v>
      </c>
      <c r="IX61">
        <v>4470</v>
      </c>
      <c r="IY61">
        <v>1067</v>
      </c>
      <c r="IZ61">
        <v>36161</v>
      </c>
      <c r="JA61">
        <v>512</v>
      </c>
      <c r="JB61">
        <v>691722</v>
      </c>
      <c r="JC61">
        <v>21102</v>
      </c>
      <c r="JD61">
        <v>2621</v>
      </c>
      <c r="JE61">
        <v>2279</v>
      </c>
      <c r="JF61">
        <v>1832</v>
      </c>
      <c r="JG61">
        <v>1794</v>
      </c>
      <c r="JH61">
        <v>2478</v>
      </c>
      <c r="JI61">
        <v>2409</v>
      </c>
      <c r="JJ61">
        <v>61765</v>
      </c>
      <c r="JK61">
        <v>1998</v>
      </c>
      <c r="JL61">
        <v>203094</v>
      </c>
      <c r="JM61">
        <v>20871</v>
      </c>
      <c r="JN61">
        <v>30460</v>
      </c>
      <c r="JO61">
        <v>38419</v>
      </c>
      <c r="JP61">
        <v>34649</v>
      </c>
      <c r="JQ61">
        <v>29827</v>
      </c>
      <c r="JR61">
        <v>21353</v>
      </c>
      <c r="JS61">
        <v>26019</v>
      </c>
      <c r="JT61">
        <v>26165</v>
      </c>
      <c r="JU61">
        <v>909</v>
      </c>
      <c r="JV61">
        <v>89041</v>
      </c>
      <c r="JW61">
        <v>99856</v>
      </c>
      <c r="JX61">
        <v>170266</v>
      </c>
      <c r="JY61">
        <v>190661</v>
      </c>
      <c r="JZ61">
        <v>193250</v>
      </c>
      <c r="KA61">
        <v>142102</v>
      </c>
      <c r="KB61">
        <v>174221</v>
      </c>
      <c r="KC61">
        <v>83650</v>
      </c>
      <c r="KD61">
        <v>78719</v>
      </c>
      <c r="KE61">
        <v>21486</v>
      </c>
      <c r="KF61">
        <v>14988</v>
      </c>
      <c r="KG61">
        <v>180274</v>
      </c>
      <c r="KH61">
        <v>133902</v>
      </c>
      <c r="KI61">
        <v>46969</v>
      </c>
      <c r="KJ61">
        <v>192625</v>
      </c>
      <c r="KK61">
        <v>78788</v>
      </c>
      <c r="KL61">
        <v>13477</v>
      </c>
      <c r="KM61">
        <v>21159</v>
      </c>
      <c r="KN61">
        <v>46618</v>
      </c>
      <c r="KO61">
        <v>21367</v>
      </c>
      <c r="KP61">
        <v>44511</v>
      </c>
      <c r="KQ61">
        <v>472</v>
      </c>
      <c r="KR61">
        <v>89712</v>
      </c>
      <c r="KS61">
        <v>146153</v>
      </c>
      <c r="KT61">
        <v>189591</v>
      </c>
      <c r="KU61">
        <v>18193</v>
      </c>
      <c r="KV61">
        <v>132071</v>
      </c>
      <c r="KW61">
        <v>97062</v>
      </c>
      <c r="KX61">
        <v>64771</v>
      </c>
      <c r="KY61">
        <v>1101492</v>
      </c>
      <c r="KZ61">
        <v>32044</v>
      </c>
      <c r="LA61">
        <v>71304</v>
      </c>
      <c r="LB61">
        <v>125167</v>
      </c>
      <c r="LC61">
        <v>64669</v>
      </c>
      <c r="LD61">
        <v>35680</v>
      </c>
      <c r="LE61">
        <v>121615</v>
      </c>
      <c r="LF61">
        <v>2218</v>
      </c>
      <c r="LG61">
        <v>230360</v>
      </c>
      <c r="LH61">
        <v>291090</v>
      </c>
      <c r="LI61">
        <v>682211</v>
      </c>
      <c r="LJ61">
        <v>1110</v>
      </c>
      <c r="LK61">
        <v>7231</v>
      </c>
      <c r="LL61">
        <v>2509</v>
      </c>
      <c r="LM61">
        <v>4550</v>
      </c>
      <c r="LN61">
        <v>625</v>
      </c>
      <c r="LO61">
        <v>2080</v>
      </c>
      <c r="LP61">
        <v>20251.453119999998</v>
      </c>
      <c r="LQ61">
        <v>214.63669999999999</v>
      </c>
    </row>
    <row r="62" spans="1:329" x14ac:dyDescent="0.25">
      <c r="A62" s="5" t="s">
        <v>384</v>
      </c>
      <c r="B62" s="5" t="s">
        <v>317</v>
      </c>
      <c r="C62" s="1">
        <v>1913509</v>
      </c>
      <c r="D62" s="1">
        <v>2034219</v>
      </c>
      <c r="E62" s="1">
        <v>2187640</v>
      </c>
      <c r="F62" s="1">
        <v>2221408</v>
      </c>
      <c r="G62" s="1">
        <v>2257395</v>
      </c>
      <c r="H62" s="1">
        <v>443068</v>
      </c>
      <c r="I62" s="1">
        <v>474786</v>
      </c>
      <c r="J62" s="1">
        <v>456783</v>
      </c>
      <c r="K62" s="1">
        <v>493140</v>
      </c>
      <c r="L62" s="1">
        <v>509784</v>
      </c>
      <c r="M62" s="1">
        <v>558135</v>
      </c>
      <c r="N62" s="1">
        <v>283905</v>
      </c>
      <c r="O62" s="1">
        <v>209235</v>
      </c>
      <c r="P62" s="1">
        <v>64995</v>
      </c>
      <c r="Q62" s="1">
        <v>87561</v>
      </c>
      <c r="R62" s="1">
        <v>32973</v>
      </c>
      <c r="S62" s="1">
        <v>269</v>
      </c>
      <c r="T62" s="1">
        <v>1179366</v>
      </c>
      <c r="U62" s="1">
        <v>191913</v>
      </c>
      <c r="V62" s="1">
        <v>850129</v>
      </c>
      <c r="W62" s="1">
        <v>49131</v>
      </c>
      <c r="X62" s="1">
        <v>266154</v>
      </c>
      <c r="Y62" s="2">
        <v>28.77</v>
      </c>
      <c r="Z62" s="1">
        <v>122375</v>
      </c>
      <c r="AA62" s="1">
        <v>111047</v>
      </c>
      <c r="AB62" s="1">
        <v>106859</v>
      </c>
      <c r="AC62" s="1">
        <v>222385</v>
      </c>
      <c r="AD62" s="1">
        <v>342275</v>
      </c>
      <c r="AE62" s="1">
        <v>215660</v>
      </c>
      <c r="AF62" s="1">
        <v>174846</v>
      </c>
      <c r="AG62" s="1">
        <v>152096</v>
      </c>
      <c r="AH62" s="1">
        <v>133022</v>
      </c>
      <c r="AI62" s="1">
        <v>124775</v>
      </c>
      <c r="AJ62" s="1">
        <v>111044</v>
      </c>
      <c r="AK62" s="1">
        <v>100859</v>
      </c>
      <c r="AL62" s="1">
        <v>85904</v>
      </c>
      <c r="AM62" s="1">
        <v>67444</v>
      </c>
      <c r="AN62" s="1">
        <v>51638</v>
      </c>
      <c r="AO62" s="1">
        <v>37108</v>
      </c>
      <c r="AP62" s="1">
        <v>27429</v>
      </c>
      <c r="AQ62" s="1">
        <v>34640</v>
      </c>
      <c r="AR62" s="1">
        <v>1376578</v>
      </c>
      <c r="AS62" s="1">
        <v>844829</v>
      </c>
      <c r="AT62" s="1">
        <v>874924</v>
      </c>
      <c r="AU62" s="1">
        <v>325299</v>
      </c>
      <c r="AV62" s="1">
        <v>316951</v>
      </c>
      <c r="AW62" s="1">
        <v>54269</v>
      </c>
      <c r="AX62" s="1">
        <v>4317</v>
      </c>
      <c r="AY62" s="1">
        <v>49468</v>
      </c>
      <c r="AZ62" s="1">
        <v>277034</v>
      </c>
      <c r="BA62" s="1">
        <v>319224</v>
      </c>
      <c r="BB62" s="1">
        <v>1881125</v>
      </c>
      <c r="BC62" s="1">
        <v>1019465</v>
      </c>
      <c r="BD62" s="1">
        <v>408049</v>
      </c>
      <c r="BE62" s="1">
        <v>178630</v>
      </c>
      <c r="BF62" s="1">
        <v>79710</v>
      </c>
      <c r="BG62" s="1">
        <v>195271</v>
      </c>
      <c r="BH62" s="1">
        <v>1316464</v>
      </c>
      <c r="BI62" s="1">
        <v>76912</v>
      </c>
      <c r="BJ62" s="1">
        <v>169802</v>
      </c>
      <c r="BK62" s="1">
        <v>446168</v>
      </c>
      <c r="BL62" s="1">
        <v>306334</v>
      </c>
      <c r="BM62" s="1">
        <v>98984</v>
      </c>
      <c r="BN62" s="1">
        <v>141611</v>
      </c>
      <c r="BO62" s="1">
        <v>76653</v>
      </c>
      <c r="BP62" s="1">
        <v>1861784</v>
      </c>
      <c r="BQ62" s="1">
        <v>258427</v>
      </c>
      <c r="BR62" s="1">
        <v>579109</v>
      </c>
      <c r="BS62" s="1">
        <v>38040</v>
      </c>
      <c r="BT62" s="1">
        <v>986208</v>
      </c>
      <c r="BU62" s="1">
        <v>336261</v>
      </c>
      <c r="BV62" s="1">
        <v>156879</v>
      </c>
      <c r="BW62" s="1">
        <v>107445</v>
      </c>
      <c r="BX62" s="1">
        <v>22630</v>
      </c>
      <c r="BY62" s="1">
        <v>64583</v>
      </c>
      <c r="BZ62" s="1">
        <v>102899</v>
      </c>
      <c r="CA62" s="1">
        <v>12516</v>
      </c>
      <c r="CB62" s="1">
        <v>25786</v>
      </c>
      <c r="CC62" s="2">
        <v>2.78</v>
      </c>
      <c r="CD62" s="1">
        <v>130869</v>
      </c>
      <c r="CE62" s="1">
        <v>138817</v>
      </c>
      <c r="CF62" s="1">
        <v>76847</v>
      </c>
      <c r="CG62" s="1">
        <v>64491</v>
      </c>
      <c r="CH62" s="1">
        <v>41823</v>
      </c>
      <c r="CI62" s="1">
        <v>18973</v>
      </c>
      <c r="CJ62" s="1">
        <v>21320</v>
      </c>
      <c r="CK62" s="2">
        <v>49.87</v>
      </c>
      <c r="CL62" s="1">
        <v>27966</v>
      </c>
      <c r="CM62" s="1">
        <v>87914</v>
      </c>
      <c r="CN62" s="1">
        <v>82771</v>
      </c>
      <c r="CO62" s="1">
        <v>81627</v>
      </c>
      <c r="CP62" s="1">
        <v>91462</v>
      </c>
      <c r="CQ62" s="1">
        <v>69545</v>
      </c>
      <c r="CR62" s="1">
        <v>37143</v>
      </c>
      <c r="CS62" s="1">
        <v>14713</v>
      </c>
      <c r="CT62" s="1">
        <v>56635</v>
      </c>
      <c r="CU62" s="1">
        <v>170970</v>
      </c>
      <c r="CV62" s="1">
        <v>265536</v>
      </c>
      <c r="CW62" s="1">
        <v>19794</v>
      </c>
      <c r="CX62" s="1">
        <v>45579</v>
      </c>
      <c r="CY62" s="1">
        <v>54791</v>
      </c>
      <c r="CZ62" s="1">
        <v>55135</v>
      </c>
      <c r="DA62" s="1">
        <v>29111</v>
      </c>
      <c r="DB62" s="1">
        <v>28965</v>
      </c>
      <c r="DC62" s="1">
        <v>30064</v>
      </c>
      <c r="DD62" s="1">
        <v>27083</v>
      </c>
      <c r="DE62" s="1">
        <v>25753</v>
      </c>
      <c r="DF62" s="1">
        <v>24208</v>
      </c>
      <c r="DG62" s="1">
        <v>23754</v>
      </c>
      <c r="DH62" s="1">
        <v>21525</v>
      </c>
      <c r="DI62" s="1">
        <v>40295</v>
      </c>
      <c r="DJ62" s="1">
        <v>48416</v>
      </c>
      <c r="DK62" s="1">
        <v>57426</v>
      </c>
      <c r="DL62" s="1">
        <v>28316</v>
      </c>
      <c r="DM62" s="1">
        <v>20836</v>
      </c>
      <c r="DN62" s="1">
        <v>18825</v>
      </c>
      <c r="DO62" s="1">
        <v>13427</v>
      </c>
      <c r="DP62" s="1">
        <v>30213</v>
      </c>
      <c r="DQ62" s="1">
        <v>49901</v>
      </c>
      <c r="DR62" s="1">
        <v>53671</v>
      </c>
      <c r="DS62" s="1">
        <v>54759</v>
      </c>
      <c r="DT62" s="1">
        <v>48983</v>
      </c>
      <c r="DU62" s="1">
        <v>39716</v>
      </c>
      <c r="DV62" s="1">
        <v>30678</v>
      </c>
      <c r="DW62" s="2">
        <v>48849.25</v>
      </c>
      <c r="DX62" s="2">
        <v>23068.41</v>
      </c>
      <c r="DY62" s="2">
        <v>1513.08</v>
      </c>
      <c r="DZ62" s="2">
        <v>324.33</v>
      </c>
      <c r="EA62" s="2">
        <v>1713.07</v>
      </c>
      <c r="EB62" s="2">
        <v>1382.46</v>
      </c>
      <c r="EC62" s="2">
        <v>2699.98</v>
      </c>
      <c r="ED62" s="2">
        <v>7301.22</v>
      </c>
      <c r="EE62" s="2">
        <v>4181.46</v>
      </c>
      <c r="EF62" s="2">
        <v>1677.53</v>
      </c>
      <c r="EG62" s="2">
        <v>10406.32</v>
      </c>
      <c r="EH62" s="2">
        <v>1888.13</v>
      </c>
      <c r="EI62" s="2">
        <v>914.35</v>
      </c>
      <c r="EJ62" s="2">
        <v>653.91</v>
      </c>
      <c r="EK62" s="2">
        <v>104.88</v>
      </c>
      <c r="EL62" s="2">
        <v>328.36</v>
      </c>
      <c r="EM62" s="2">
        <v>8874.99</v>
      </c>
      <c r="EN62" s="2">
        <v>3755.31</v>
      </c>
      <c r="EO62" s="2">
        <v>1129.8699999999999</v>
      </c>
      <c r="EP62" s="1">
        <v>24475</v>
      </c>
      <c r="EQ62" s="1">
        <v>3582</v>
      </c>
      <c r="ER62" s="1">
        <v>506</v>
      </c>
      <c r="ES62" s="1">
        <v>4987</v>
      </c>
      <c r="ET62" s="1">
        <v>23963</v>
      </c>
      <c r="EU62" s="1">
        <v>38033</v>
      </c>
      <c r="EV62" s="1">
        <v>71340</v>
      </c>
      <c r="EW62" s="1">
        <v>4481</v>
      </c>
      <c r="EX62" s="1">
        <v>16360</v>
      </c>
      <c r="EY62" s="1">
        <v>3181</v>
      </c>
      <c r="EZ62" s="1">
        <v>190692</v>
      </c>
      <c r="FA62" s="1">
        <v>17807</v>
      </c>
      <c r="FB62" s="1">
        <v>92429</v>
      </c>
      <c r="FC62" s="1">
        <v>31867</v>
      </c>
      <c r="FD62" s="1">
        <v>19487</v>
      </c>
      <c r="FE62" s="1">
        <v>84051</v>
      </c>
      <c r="FF62" s="1">
        <v>3450</v>
      </c>
      <c r="FG62" s="1">
        <v>307826</v>
      </c>
      <c r="FH62" s="1">
        <v>35778</v>
      </c>
      <c r="FI62" s="1">
        <v>13365</v>
      </c>
      <c r="FJ62" s="1">
        <v>456</v>
      </c>
      <c r="FK62" s="1">
        <v>2188</v>
      </c>
      <c r="FL62" s="1">
        <v>6007</v>
      </c>
      <c r="FM62" s="1">
        <v>962</v>
      </c>
      <c r="FN62" s="1">
        <v>75569</v>
      </c>
      <c r="FO62" s="1">
        <v>422547</v>
      </c>
      <c r="FP62" s="1">
        <v>102</v>
      </c>
      <c r="FQ62" s="1">
        <v>145</v>
      </c>
      <c r="FR62" s="1">
        <v>158</v>
      </c>
      <c r="FS62" s="1">
        <v>151</v>
      </c>
      <c r="FT62" s="1">
        <v>93</v>
      </c>
      <c r="FU62" s="1">
        <v>167</v>
      </c>
      <c r="FV62" s="1">
        <v>95</v>
      </c>
      <c r="FW62" s="1">
        <v>109</v>
      </c>
      <c r="FX62" s="1">
        <v>88</v>
      </c>
      <c r="FY62" s="1">
        <v>122</v>
      </c>
      <c r="FZ62" s="3">
        <v>-0.496</v>
      </c>
      <c r="GA62" s="3">
        <v>8.2000000000000003E-2</v>
      </c>
      <c r="GB62" s="3">
        <v>-0.51400000000000001</v>
      </c>
      <c r="GC62" s="3">
        <v>0.34</v>
      </c>
      <c r="GD62" s="3">
        <v>-0.31</v>
      </c>
      <c r="GE62" s="3">
        <v>-0.66400000000000003</v>
      </c>
      <c r="GF62" s="3">
        <v>0.93700000000000006</v>
      </c>
      <c r="GG62" s="3">
        <v>1.103</v>
      </c>
      <c r="GH62" s="3">
        <v>0.315</v>
      </c>
      <c r="GI62" s="3">
        <v>0.85299999999999998</v>
      </c>
      <c r="GJ62" s="3">
        <v>-0.29599999999999999</v>
      </c>
      <c r="GK62" s="3">
        <v>-9.9000000000000005E-2</v>
      </c>
      <c r="GL62" s="3">
        <v>7.3999999999999996E-2</v>
      </c>
      <c r="GM62" s="3">
        <v>0.65</v>
      </c>
      <c r="GN62" s="3">
        <v>-0.80600000000000005</v>
      </c>
      <c r="GO62" s="3">
        <v>4.492</v>
      </c>
      <c r="GP62" s="3">
        <v>0.91300000000000003</v>
      </c>
      <c r="GQ62" s="3">
        <v>-0.17100000000000001</v>
      </c>
      <c r="GR62" s="3">
        <v>0.57699999999999996</v>
      </c>
      <c r="GS62" s="3">
        <v>-1.7999999999999999E-2</v>
      </c>
      <c r="GT62" s="3">
        <v>0.40100000000000002</v>
      </c>
      <c r="GU62" s="3">
        <v>3.3559999999999999</v>
      </c>
      <c r="GV62" s="3">
        <v>1.2999999999999999E-2</v>
      </c>
      <c r="GW62" s="3">
        <v>1.413</v>
      </c>
      <c r="GX62" s="3">
        <v>5.3159999999999998</v>
      </c>
      <c r="GY62" s="3">
        <v>-3.9E-2</v>
      </c>
      <c r="GZ62" s="4">
        <v>82</v>
      </c>
      <c r="HA62" s="4">
        <v>81</v>
      </c>
      <c r="HB62" s="4">
        <v>74</v>
      </c>
      <c r="HC62" s="4">
        <v>91</v>
      </c>
      <c r="HD62" s="4">
        <v>57</v>
      </c>
      <c r="HE62" s="4">
        <v>113</v>
      </c>
      <c r="HF62" s="1">
        <v>10722</v>
      </c>
      <c r="HG62" s="1">
        <v>7015</v>
      </c>
      <c r="HH62" s="1">
        <v>6432</v>
      </c>
      <c r="HI62" s="1">
        <v>6265</v>
      </c>
      <c r="HJ62" s="1">
        <v>5656</v>
      </c>
      <c r="HK62" s="1">
        <v>5813</v>
      </c>
      <c r="HL62" s="1">
        <v>4315</v>
      </c>
      <c r="HM62" s="1">
        <v>11227</v>
      </c>
      <c r="HN62" s="1">
        <v>13656</v>
      </c>
      <c r="HO62" s="1">
        <v>12647</v>
      </c>
      <c r="HP62" s="1">
        <v>12510</v>
      </c>
      <c r="HQ62" s="1">
        <v>14594</v>
      </c>
      <c r="HR62" s="1">
        <v>10012</v>
      </c>
      <c r="HS62" s="1">
        <v>25586</v>
      </c>
      <c r="HT62" s="1">
        <v>17053</v>
      </c>
      <c r="HU62" s="1">
        <v>22098</v>
      </c>
      <c r="HV62" s="1">
        <v>12213</v>
      </c>
      <c r="HW62" s="1">
        <v>20638</v>
      </c>
      <c r="HX62" s="1">
        <v>14008</v>
      </c>
      <c r="HY62" s="1">
        <v>15712</v>
      </c>
      <c r="HZ62" s="1">
        <v>7070</v>
      </c>
      <c r="IA62" s="1">
        <v>7409</v>
      </c>
      <c r="IB62" s="1">
        <v>2574</v>
      </c>
      <c r="IC62" s="1">
        <v>2836</v>
      </c>
      <c r="ID62" s="1">
        <v>112864</v>
      </c>
      <c r="IE62" s="1">
        <v>8471</v>
      </c>
      <c r="IF62" s="1">
        <v>5984</v>
      </c>
      <c r="IG62" s="1">
        <v>5790</v>
      </c>
      <c r="IH62" s="1">
        <v>6388</v>
      </c>
      <c r="II62" s="1">
        <v>5863</v>
      </c>
      <c r="IJ62" s="1">
        <v>8522</v>
      </c>
      <c r="IK62" s="1">
        <v>9368</v>
      </c>
      <c r="IL62" s="1">
        <v>9261</v>
      </c>
      <c r="IM62" s="1">
        <v>8713</v>
      </c>
      <c r="IN62" s="1">
        <v>9622</v>
      </c>
      <c r="IO62" s="1">
        <v>7402</v>
      </c>
      <c r="IP62" s="1">
        <v>7529</v>
      </c>
      <c r="IQ62" s="1">
        <v>6486</v>
      </c>
      <c r="IR62" s="1">
        <v>5704</v>
      </c>
      <c r="IS62" s="1">
        <v>4715</v>
      </c>
      <c r="IT62" s="1">
        <v>9598</v>
      </c>
      <c r="IU62" s="1">
        <v>7210</v>
      </c>
      <c r="IV62" s="1">
        <v>14251</v>
      </c>
      <c r="IW62">
        <v>6125</v>
      </c>
      <c r="IX62">
        <v>6710</v>
      </c>
      <c r="IY62">
        <v>3972</v>
      </c>
      <c r="IZ62">
        <v>23097</v>
      </c>
      <c r="JA62">
        <v>518</v>
      </c>
      <c r="JB62">
        <v>150149</v>
      </c>
      <c r="JC62">
        <v>3032</v>
      </c>
      <c r="JD62">
        <v>614</v>
      </c>
      <c r="JE62">
        <v>424</v>
      </c>
      <c r="JF62">
        <v>227</v>
      </c>
      <c r="JG62">
        <v>145</v>
      </c>
      <c r="JH62">
        <v>170</v>
      </c>
      <c r="JI62">
        <v>167</v>
      </c>
      <c r="JJ62">
        <v>39094</v>
      </c>
      <c r="JK62">
        <v>415</v>
      </c>
      <c r="JL62">
        <v>59250</v>
      </c>
      <c r="JM62">
        <v>18106</v>
      </c>
      <c r="JN62">
        <v>10944</v>
      </c>
      <c r="JO62">
        <v>9196</v>
      </c>
      <c r="JP62">
        <v>7656</v>
      </c>
      <c r="JQ62">
        <v>4714</v>
      </c>
      <c r="JR62">
        <v>3627</v>
      </c>
      <c r="JS62">
        <v>2838</v>
      </c>
      <c r="JT62">
        <v>12634</v>
      </c>
      <c r="JU62">
        <v>179</v>
      </c>
      <c r="JV62">
        <v>22099</v>
      </c>
      <c r="JW62">
        <v>22510</v>
      </c>
      <c r="JX62">
        <v>59831</v>
      </c>
      <c r="JY62">
        <v>60985</v>
      </c>
      <c r="JZ62">
        <v>66603</v>
      </c>
      <c r="KA62">
        <v>33174</v>
      </c>
      <c r="KB62">
        <v>23934</v>
      </c>
      <c r="KC62">
        <v>11774</v>
      </c>
      <c r="KD62">
        <v>22671</v>
      </c>
      <c r="KE62">
        <v>13762</v>
      </c>
      <c r="KF62">
        <v>5073</v>
      </c>
      <c r="KG62">
        <v>26231</v>
      </c>
      <c r="KH62">
        <v>25188</v>
      </c>
      <c r="KI62">
        <v>5446</v>
      </c>
      <c r="KJ62">
        <v>37394</v>
      </c>
      <c r="KK62">
        <v>11685</v>
      </c>
      <c r="KL62">
        <v>5125</v>
      </c>
      <c r="KM62">
        <v>3880</v>
      </c>
      <c r="KN62">
        <v>7000</v>
      </c>
      <c r="KO62">
        <v>5115</v>
      </c>
      <c r="KP62">
        <v>10715</v>
      </c>
      <c r="KQ62">
        <v>145</v>
      </c>
      <c r="KR62">
        <v>10140</v>
      </c>
      <c r="KS62">
        <v>46847</v>
      </c>
      <c r="KT62">
        <v>55066</v>
      </c>
      <c r="KU62">
        <v>17162</v>
      </c>
      <c r="KV62">
        <v>24619</v>
      </c>
      <c r="KW62">
        <v>13927</v>
      </c>
      <c r="KX62">
        <v>52750</v>
      </c>
      <c r="KY62">
        <v>177427</v>
      </c>
      <c r="KZ62">
        <v>7501</v>
      </c>
      <c r="LA62">
        <v>26503</v>
      </c>
      <c r="LB62">
        <v>65822</v>
      </c>
      <c r="LC62">
        <v>27411</v>
      </c>
      <c r="LD62">
        <v>48986</v>
      </c>
      <c r="LE62">
        <v>22647</v>
      </c>
      <c r="LF62">
        <v>973</v>
      </c>
      <c r="LG62">
        <v>205591</v>
      </c>
      <c r="LH62">
        <v>3463</v>
      </c>
      <c r="LI62">
        <v>16504</v>
      </c>
      <c r="LJ62">
        <v>330</v>
      </c>
      <c r="LK62">
        <v>3613</v>
      </c>
      <c r="LL62">
        <v>1012</v>
      </c>
      <c r="LM62">
        <v>3400</v>
      </c>
      <c r="LN62">
        <v>12171</v>
      </c>
      <c r="LO62">
        <v>77497</v>
      </c>
      <c r="LP62">
        <v>549190.1875</v>
      </c>
      <c r="LQ62">
        <v>3.4139499999999998</v>
      </c>
    </row>
    <row r="63" spans="1:329" x14ac:dyDescent="0.25">
      <c r="A63" s="5" t="s">
        <v>385</v>
      </c>
      <c r="B63" s="5" t="s">
        <v>318</v>
      </c>
      <c r="C63" s="1">
        <v>2139335</v>
      </c>
      <c r="D63" s="1">
        <v>2171934</v>
      </c>
      <c r="E63" s="1">
        <v>2179172</v>
      </c>
      <c r="F63" s="1">
        <v>2277755</v>
      </c>
      <c r="G63" s="1">
        <v>2345513</v>
      </c>
      <c r="H63" s="1">
        <v>734400</v>
      </c>
      <c r="I63" s="1">
        <v>727285</v>
      </c>
      <c r="J63" s="1">
        <v>731046</v>
      </c>
      <c r="K63" s="1">
        <v>785885</v>
      </c>
      <c r="L63" s="1">
        <v>821885</v>
      </c>
      <c r="M63" s="1">
        <v>828141</v>
      </c>
      <c r="N63" s="1">
        <v>185575</v>
      </c>
      <c r="O63" s="1">
        <v>600309</v>
      </c>
      <c r="P63" s="1">
        <v>42257</v>
      </c>
      <c r="Q63" s="1">
        <v>85062</v>
      </c>
      <c r="R63" s="1">
        <v>1548</v>
      </c>
      <c r="S63" s="1">
        <v>14</v>
      </c>
      <c r="T63" s="1">
        <v>1906434</v>
      </c>
      <c r="U63" s="1">
        <v>331856</v>
      </c>
      <c r="V63" s="1">
        <v>39465</v>
      </c>
      <c r="W63" s="1">
        <v>1416</v>
      </c>
      <c r="X63" s="1">
        <v>0</v>
      </c>
      <c r="Y63" s="2">
        <v>30.64</v>
      </c>
      <c r="Z63" s="1">
        <v>182227</v>
      </c>
      <c r="AA63" s="1">
        <v>175415</v>
      </c>
      <c r="AB63" s="1">
        <v>171084</v>
      </c>
      <c r="AC63" s="1">
        <v>168563</v>
      </c>
      <c r="AD63" s="1">
        <v>181676</v>
      </c>
      <c r="AE63" s="1">
        <v>201737</v>
      </c>
      <c r="AF63" s="1">
        <v>177092</v>
      </c>
      <c r="AG63" s="1">
        <v>158430</v>
      </c>
      <c r="AH63" s="1">
        <v>140005</v>
      </c>
      <c r="AI63" s="1">
        <v>136098</v>
      </c>
      <c r="AJ63" s="1">
        <v>130780</v>
      </c>
      <c r="AK63" s="1">
        <v>122964</v>
      </c>
      <c r="AL63" s="1">
        <v>103341</v>
      </c>
      <c r="AM63" s="1">
        <v>79163</v>
      </c>
      <c r="AN63" s="1">
        <v>58571</v>
      </c>
      <c r="AO63" s="1">
        <v>38847</v>
      </c>
      <c r="AP63" s="1">
        <v>25222</v>
      </c>
      <c r="AQ63" s="1">
        <v>26538</v>
      </c>
      <c r="AR63" s="1">
        <v>1093441</v>
      </c>
      <c r="AS63" s="1">
        <v>1184314</v>
      </c>
      <c r="AT63" s="1">
        <v>312155</v>
      </c>
      <c r="AU63" s="1">
        <v>628685</v>
      </c>
      <c r="AV63" s="1">
        <v>6670</v>
      </c>
      <c r="AW63" s="1">
        <v>105877</v>
      </c>
      <c r="AX63" s="1">
        <v>1364</v>
      </c>
      <c r="AY63" s="1">
        <v>18676</v>
      </c>
      <c r="AZ63" s="1">
        <v>39744</v>
      </c>
      <c r="BA63" s="1">
        <v>1164644</v>
      </c>
      <c r="BB63" s="1">
        <v>1749028</v>
      </c>
      <c r="BC63" s="1">
        <v>932494</v>
      </c>
      <c r="BD63" s="1">
        <v>414822</v>
      </c>
      <c r="BE63" s="1">
        <v>150159</v>
      </c>
      <c r="BF63" s="1">
        <v>79450</v>
      </c>
      <c r="BG63" s="1">
        <v>172103</v>
      </c>
      <c r="BH63" s="1">
        <v>1398790</v>
      </c>
      <c r="BI63" s="1">
        <v>196986</v>
      </c>
      <c r="BJ63" s="1">
        <v>206300</v>
      </c>
      <c r="BK63" s="1">
        <v>459466</v>
      </c>
      <c r="BL63" s="1">
        <v>238586</v>
      </c>
      <c r="BM63" s="1">
        <v>82980</v>
      </c>
      <c r="BN63" s="1">
        <v>146801</v>
      </c>
      <c r="BO63" s="1">
        <v>67671</v>
      </c>
      <c r="BP63" s="1">
        <v>1719241</v>
      </c>
      <c r="BQ63" s="1">
        <v>604</v>
      </c>
      <c r="BR63" s="1">
        <v>953104</v>
      </c>
      <c r="BS63" s="1">
        <v>69956</v>
      </c>
      <c r="BT63" s="1">
        <v>695577</v>
      </c>
      <c r="BU63" s="1">
        <v>527306</v>
      </c>
      <c r="BV63" s="1">
        <v>258579</v>
      </c>
      <c r="BW63" s="1">
        <v>113792</v>
      </c>
      <c r="BX63" s="1">
        <v>34621</v>
      </c>
      <c r="BY63" s="1">
        <v>183280</v>
      </c>
      <c r="BZ63" s="1">
        <v>95170</v>
      </c>
      <c r="CA63" s="1">
        <v>27260</v>
      </c>
      <c r="CB63" s="1">
        <v>73014</v>
      </c>
      <c r="CC63" s="2">
        <v>2.85</v>
      </c>
      <c r="CD63" s="1">
        <v>207313</v>
      </c>
      <c r="CE63" s="1">
        <v>192010</v>
      </c>
      <c r="CF63" s="1">
        <v>139865</v>
      </c>
      <c r="CG63" s="1">
        <v>111234</v>
      </c>
      <c r="CH63" s="1">
        <v>69317</v>
      </c>
      <c r="CI63" s="1">
        <v>34083</v>
      </c>
      <c r="CJ63" s="1">
        <v>32063</v>
      </c>
      <c r="CK63" s="2">
        <v>46.71</v>
      </c>
      <c r="CL63" s="1">
        <v>38166</v>
      </c>
      <c r="CM63" s="1">
        <v>157670</v>
      </c>
      <c r="CN63" s="1">
        <v>156080</v>
      </c>
      <c r="CO63" s="1">
        <v>151299</v>
      </c>
      <c r="CP63" s="1">
        <v>136560</v>
      </c>
      <c r="CQ63" s="1">
        <v>87344</v>
      </c>
      <c r="CR63" s="1">
        <v>41775</v>
      </c>
      <c r="CS63" s="1">
        <v>16990</v>
      </c>
      <c r="CT63" s="1">
        <v>301201</v>
      </c>
      <c r="CU63" s="1">
        <v>297593</v>
      </c>
      <c r="CV63" s="1">
        <v>187090</v>
      </c>
      <c r="CW63" s="1">
        <v>16443</v>
      </c>
      <c r="CX63" s="1">
        <v>34183</v>
      </c>
      <c r="CY63" s="1">
        <v>39710</v>
      </c>
      <c r="CZ63" s="1">
        <v>124791</v>
      </c>
      <c r="DA63" s="1">
        <v>69691</v>
      </c>
      <c r="DB63" s="1">
        <v>59587</v>
      </c>
      <c r="DC63" s="1">
        <v>57814</v>
      </c>
      <c r="DD63" s="1">
        <v>45731</v>
      </c>
      <c r="DE63" s="1">
        <v>42216</v>
      </c>
      <c r="DF63" s="1">
        <v>39938</v>
      </c>
      <c r="DG63" s="1">
        <v>37443</v>
      </c>
      <c r="DH63" s="1">
        <v>31889</v>
      </c>
      <c r="DI63" s="1">
        <v>56776</v>
      </c>
      <c r="DJ63" s="1">
        <v>63470</v>
      </c>
      <c r="DK63" s="1">
        <v>71631</v>
      </c>
      <c r="DL63" s="1">
        <v>31110</v>
      </c>
      <c r="DM63" s="1">
        <v>21282</v>
      </c>
      <c r="DN63" s="1">
        <v>19395</v>
      </c>
      <c r="DO63" s="1">
        <v>13122</v>
      </c>
      <c r="DP63" s="1">
        <v>21982</v>
      </c>
      <c r="DQ63" s="1">
        <v>38167</v>
      </c>
      <c r="DR63" s="1">
        <v>39908</v>
      </c>
      <c r="DS63" s="1">
        <v>39378</v>
      </c>
      <c r="DT63" s="1">
        <v>31911</v>
      </c>
      <c r="DU63" s="1">
        <v>28950</v>
      </c>
      <c r="DV63" s="1">
        <v>23980</v>
      </c>
      <c r="DW63" s="2">
        <v>41829.29</v>
      </c>
      <c r="DX63" s="2">
        <v>19573.099999999999</v>
      </c>
      <c r="DY63" s="2">
        <v>1225.96</v>
      </c>
      <c r="DZ63" s="2">
        <v>260.22000000000003</v>
      </c>
      <c r="EA63" s="2">
        <v>1482.79</v>
      </c>
      <c r="EB63" s="2">
        <v>1206.0899999999999</v>
      </c>
      <c r="EC63" s="2">
        <v>2256.3000000000002</v>
      </c>
      <c r="ED63" s="2">
        <v>6335.61</v>
      </c>
      <c r="EE63" s="2">
        <v>3542.96</v>
      </c>
      <c r="EF63" s="2">
        <v>1402.75</v>
      </c>
      <c r="EG63" s="2">
        <v>9147.99</v>
      </c>
      <c r="EH63" s="2">
        <v>1589.16</v>
      </c>
      <c r="EI63" s="2">
        <v>777.65</v>
      </c>
      <c r="EJ63" s="2">
        <v>560.42999999999995</v>
      </c>
      <c r="EK63" s="2">
        <v>88</v>
      </c>
      <c r="EL63" s="2">
        <v>304.63</v>
      </c>
      <c r="EM63" s="2">
        <v>7424.48</v>
      </c>
      <c r="EN63" s="2">
        <v>3280.65</v>
      </c>
      <c r="EO63" s="2">
        <v>943.62</v>
      </c>
      <c r="EP63" s="1">
        <v>24900</v>
      </c>
      <c r="EQ63" s="1">
        <v>3280</v>
      </c>
      <c r="ER63" s="1">
        <v>950</v>
      </c>
      <c r="ES63" s="1">
        <v>3967</v>
      </c>
      <c r="ET63" s="1">
        <v>21422</v>
      </c>
      <c r="EU63" s="1">
        <v>30804</v>
      </c>
      <c r="EV63" s="1">
        <v>67758</v>
      </c>
      <c r="EW63" s="1">
        <v>4456</v>
      </c>
      <c r="EX63" s="1">
        <v>13505</v>
      </c>
      <c r="EY63" s="1">
        <v>1737</v>
      </c>
      <c r="EZ63" s="1">
        <v>171996</v>
      </c>
      <c r="FA63" s="1">
        <v>13647</v>
      </c>
      <c r="FB63" s="1">
        <v>53076</v>
      </c>
      <c r="FC63" s="1">
        <v>25988</v>
      </c>
      <c r="FD63" s="1">
        <v>7347</v>
      </c>
      <c r="FE63" s="1">
        <v>47052</v>
      </c>
      <c r="FF63" s="1">
        <v>2779</v>
      </c>
      <c r="FG63" s="1">
        <v>229380</v>
      </c>
      <c r="FH63" s="1">
        <v>26995</v>
      </c>
      <c r="FI63" s="1">
        <v>10800</v>
      </c>
      <c r="FJ63" s="1">
        <v>288</v>
      </c>
      <c r="FK63" s="1">
        <v>1938</v>
      </c>
      <c r="FL63" s="1">
        <v>4498</v>
      </c>
      <c r="FM63" s="1">
        <v>913</v>
      </c>
      <c r="FN63" s="1">
        <v>64396</v>
      </c>
      <c r="FO63" s="1">
        <v>340531</v>
      </c>
      <c r="FP63" s="1">
        <v>144</v>
      </c>
      <c r="FQ63" s="1">
        <v>280</v>
      </c>
      <c r="FR63" s="1">
        <v>301</v>
      </c>
      <c r="FS63" s="1">
        <v>144</v>
      </c>
      <c r="FT63" s="1">
        <v>358</v>
      </c>
      <c r="FU63" s="1">
        <v>268</v>
      </c>
      <c r="FV63" s="1">
        <v>124</v>
      </c>
      <c r="FW63" s="1">
        <v>139</v>
      </c>
      <c r="FX63" s="1">
        <v>111</v>
      </c>
      <c r="FY63" s="1">
        <v>189</v>
      </c>
      <c r="FZ63" s="3">
        <v>-0.53200000000000003</v>
      </c>
      <c r="GA63" s="3">
        <v>-0.86</v>
      </c>
      <c r="GB63" s="3">
        <v>-0.60599999999999998</v>
      </c>
      <c r="GC63" s="3">
        <v>1.64</v>
      </c>
      <c r="GD63" s="3">
        <v>0.17399999999999999</v>
      </c>
      <c r="GE63" s="3">
        <v>-0.61399999999999999</v>
      </c>
      <c r="GF63" s="3">
        <v>-0.31</v>
      </c>
      <c r="GG63" s="3">
        <v>-0.186</v>
      </c>
      <c r="GH63" s="3">
        <v>-0.75</v>
      </c>
      <c r="GI63" s="3">
        <v>-0.32700000000000001</v>
      </c>
      <c r="GJ63" s="3">
        <v>0.23100000000000001</v>
      </c>
      <c r="GK63" s="3">
        <v>2.5999999999999999E-2</v>
      </c>
      <c r="GL63" s="3">
        <v>-2.9000000000000001E-2</v>
      </c>
      <c r="GM63" s="3">
        <v>-0.16500000000000001</v>
      </c>
      <c r="GN63" s="3">
        <v>1.1479999999999999</v>
      </c>
      <c r="GO63" s="3">
        <v>-0.26300000000000001</v>
      </c>
      <c r="GP63" s="3">
        <v>0.77600000000000002</v>
      </c>
      <c r="GQ63" s="3">
        <v>9.1999999999999998E-2</v>
      </c>
      <c r="GR63" s="3">
        <v>0.63200000000000001</v>
      </c>
      <c r="GS63" s="3">
        <v>-0.41099999999999998</v>
      </c>
      <c r="GT63" s="3">
        <v>-0.18099999999999999</v>
      </c>
      <c r="GU63" s="3">
        <v>0.04</v>
      </c>
      <c r="GV63" s="3">
        <v>9.4E-2</v>
      </c>
      <c r="GW63" s="3">
        <v>0.14599999999999999</v>
      </c>
      <c r="GX63" s="3">
        <v>0.14499999999999999</v>
      </c>
      <c r="GY63" s="3">
        <v>4.9000000000000002E-2</v>
      </c>
      <c r="GZ63" s="4">
        <v>90</v>
      </c>
      <c r="HA63" s="4">
        <v>71</v>
      </c>
      <c r="HB63" s="4">
        <v>112</v>
      </c>
      <c r="HC63" s="4">
        <v>59</v>
      </c>
      <c r="HD63" s="4">
        <v>164</v>
      </c>
      <c r="HE63" s="4">
        <v>89</v>
      </c>
      <c r="HF63" s="1">
        <v>1465</v>
      </c>
      <c r="HG63" s="1">
        <v>1519</v>
      </c>
      <c r="HH63" s="1">
        <v>1915</v>
      </c>
      <c r="HI63" s="1">
        <v>1706</v>
      </c>
      <c r="HJ63" s="1">
        <v>2361</v>
      </c>
      <c r="HK63" s="1">
        <v>2137</v>
      </c>
      <c r="HL63" s="1">
        <v>2386</v>
      </c>
      <c r="HM63" s="1">
        <v>5354</v>
      </c>
      <c r="HN63" s="1">
        <v>5856</v>
      </c>
      <c r="HO63" s="1">
        <v>7111</v>
      </c>
      <c r="HP63" s="1">
        <v>6923</v>
      </c>
      <c r="HQ63" s="1">
        <v>8196</v>
      </c>
      <c r="HR63" s="1">
        <v>7142</v>
      </c>
      <c r="HS63" s="1">
        <v>16025</v>
      </c>
      <c r="HT63" s="1">
        <v>12209</v>
      </c>
      <c r="HU63" s="1">
        <v>14902</v>
      </c>
      <c r="HV63" s="1">
        <v>10583</v>
      </c>
      <c r="HW63" s="1">
        <v>17901</v>
      </c>
      <c r="HX63" s="1">
        <v>13632</v>
      </c>
      <c r="HY63" s="1">
        <v>17758</v>
      </c>
      <c r="HZ63" s="1">
        <v>8730</v>
      </c>
      <c r="IA63" s="1">
        <v>7351</v>
      </c>
      <c r="IB63" s="1">
        <v>1598</v>
      </c>
      <c r="IC63" s="1">
        <v>1529</v>
      </c>
      <c r="ID63" s="1">
        <v>159796</v>
      </c>
      <c r="IE63" s="1">
        <v>11621</v>
      </c>
      <c r="IF63" s="1">
        <v>11368</v>
      </c>
      <c r="IG63" s="1">
        <v>19978</v>
      </c>
      <c r="IH63" s="1">
        <v>27916</v>
      </c>
      <c r="II63" s="1">
        <v>13963</v>
      </c>
      <c r="IJ63" s="1">
        <v>16497</v>
      </c>
      <c r="IK63" s="1">
        <v>15001</v>
      </c>
      <c r="IL63" s="1">
        <v>21347</v>
      </c>
      <c r="IM63" s="1">
        <v>21476</v>
      </c>
      <c r="IN63" s="1">
        <v>31447</v>
      </c>
      <c r="IO63" s="1">
        <v>29117</v>
      </c>
      <c r="IP63" s="1">
        <v>34000</v>
      </c>
      <c r="IQ63" s="1">
        <v>34826</v>
      </c>
      <c r="IR63" s="1">
        <v>33789</v>
      </c>
      <c r="IS63" s="1">
        <v>28499</v>
      </c>
      <c r="IT63" s="1">
        <v>54196</v>
      </c>
      <c r="IU63" s="1">
        <v>38625</v>
      </c>
      <c r="IV63" s="1">
        <v>54134</v>
      </c>
      <c r="IW63">
        <v>21802</v>
      </c>
      <c r="IX63">
        <v>16053</v>
      </c>
      <c r="IY63">
        <v>5754</v>
      </c>
      <c r="IZ63">
        <v>13909</v>
      </c>
      <c r="JA63">
        <v>662</v>
      </c>
      <c r="JB63">
        <v>76898</v>
      </c>
      <c r="JC63">
        <v>71139</v>
      </c>
      <c r="JD63">
        <v>24798</v>
      </c>
      <c r="JE63">
        <v>12873</v>
      </c>
      <c r="JF63">
        <v>2604</v>
      </c>
      <c r="JG63">
        <v>1781</v>
      </c>
      <c r="JH63">
        <v>2762</v>
      </c>
      <c r="JI63">
        <v>2887</v>
      </c>
      <c r="JJ63">
        <v>1581</v>
      </c>
      <c r="JK63">
        <v>56</v>
      </c>
      <c r="JL63">
        <v>32645</v>
      </c>
      <c r="JM63">
        <v>69001</v>
      </c>
      <c r="JN63">
        <v>82192</v>
      </c>
      <c r="JO63">
        <v>112177</v>
      </c>
      <c r="JP63">
        <v>68852</v>
      </c>
      <c r="JQ63">
        <v>46780</v>
      </c>
      <c r="JR63">
        <v>74028</v>
      </c>
      <c r="JS63">
        <v>98911</v>
      </c>
      <c r="JT63">
        <v>1241</v>
      </c>
      <c r="JU63">
        <v>497</v>
      </c>
      <c r="JV63">
        <v>22015</v>
      </c>
      <c r="JW63">
        <v>21756</v>
      </c>
      <c r="JX63">
        <v>37298</v>
      </c>
      <c r="JY63">
        <v>46855</v>
      </c>
      <c r="JZ63">
        <v>69981</v>
      </c>
      <c r="KA63">
        <v>76700</v>
      </c>
      <c r="KB63">
        <v>110674</v>
      </c>
      <c r="KC63">
        <v>84598</v>
      </c>
      <c r="KD63">
        <v>313826</v>
      </c>
      <c r="KE63">
        <v>4519</v>
      </c>
      <c r="KF63">
        <v>448</v>
      </c>
      <c r="KG63">
        <v>42586</v>
      </c>
      <c r="KH63">
        <v>89513</v>
      </c>
      <c r="KI63">
        <v>22071</v>
      </c>
      <c r="KJ63">
        <v>99879</v>
      </c>
      <c r="KK63">
        <v>41152</v>
      </c>
      <c r="KL63">
        <v>3218</v>
      </c>
      <c r="KM63">
        <v>14342</v>
      </c>
      <c r="KN63">
        <v>25432</v>
      </c>
      <c r="KO63">
        <v>16240</v>
      </c>
      <c r="KP63">
        <v>26403</v>
      </c>
      <c r="KQ63">
        <v>473</v>
      </c>
      <c r="KR63">
        <v>56252</v>
      </c>
      <c r="KS63">
        <v>56359</v>
      </c>
      <c r="KT63">
        <v>153361</v>
      </c>
      <c r="KU63">
        <v>14989</v>
      </c>
      <c r="KV63">
        <v>76612</v>
      </c>
      <c r="KW63">
        <v>48306</v>
      </c>
      <c r="KX63">
        <v>29971</v>
      </c>
      <c r="KY63">
        <v>593842</v>
      </c>
      <c r="KZ63">
        <v>10121</v>
      </c>
      <c r="LA63">
        <v>78903</v>
      </c>
      <c r="LB63">
        <v>63329</v>
      </c>
      <c r="LC63">
        <v>24339</v>
      </c>
      <c r="LD63">
        <v>13451</v>
      </c>
      <c r="LE63">
        <v>37478</v>
      </c>
      <c r="LF63">
        <v>663</v>
      </c>
      <c r="LG63">
        <v>370942</v>
      </c>
      <c r="LH63">
        <v>110034</v>
      </c>
      <c r="LI63">
        <v>227889</v>
      </c>
      <c r="LJ63">
        <v>13406</v>
      </c>
      <c r="LK63">
        <v>28810</v>
      </c>
      <c r="LL63">
        <v>9565</v>
      </c>
      <c r="LM63">
        <v>11740</v>
      </c>
      <c r="LN63">
        <v>3188</v>
      </c>
      <c r="LO63">
        <v>8129</v>
      </c>
      <c r="LP63">
        <v>160.79453000000001</v>
      </c>
      <c r="LQ63">
        <v>15421.28376</v>
      </c>
    </row>
    <row r="64" spans="1:329" x14ac:dyDescent="0.25">
      <c r="A64" s="5" t="s">
        <v>386</v>
      </c>
      <c r="B64" s="5" t="s">
        <v>319</v>
      </c>
      <c r="C64" s="1">
        <v>3598607</v>
      </c>
      <c r="D64" s="1">
        <v>3614945</v>
      </c>
      <c r="E64" s="1">
        <v>3651738</v>
      </c>
      <c r="F64" s="1">
        <v>3836601</v>
      </c>
      <c r="G64" s="1">
        <v>3973196</v>
      </c>
      <c r="H64" s="1">
        <v>1317428</v>
      </c>
      <c r="I64" s="1">
        <v>1332456</v>
      </c>
      <c r="J64" s="1">
        <v>1354469</v>
      </c>
      <c r="K64" s="1">
        <v>1481983</v>
      </c>
      <c r="L64" s="1">
        <v>1543978</v>
      </c>
      <c r="M64" s="1">
        <v>1587131</v>
      </c>
      <c r="N64" s="1">
        <v>464927</v>
      </c>
      <c r="O64" s="1">
        <v>1017056</v>
      </c>
      <c r="P64" s="1">
        <v>105148</v>
      </c>
      <c r="Q64" s="1">
        <v>201002</v>
      </c>
      <c r="R64" s="1">
        <v>5158</v>
      </c>
      <c r="S64" s="1">
        <v>183</v>
      </c>
      <c r="T64" s="1">
        <v>3094995</v>
      </c>
      <c r="U64" s="1">
        <v>670114</v>
      </c>
      <c r="V64" s="1">
        <v>71492</v>
      </c>
      <c r="W64" s="1">
        <v>5972</v>
      </c>
      <c r="X64" s="1">
        <v>115</v>
      </c>
      <c r="Y64" s="2">
        <v>29.49</v>
      </c>
      <c r="Z64" s="1">
        <v>357437</v>
      </c>
      <c r="AA64" s="1">
        <v>323063</v>
      </c>
      <c r="AB64" s="1">
        <v>289474</v>
      </c>
      <c r="AC64" s="1">
        <v>266873</v>
      </c>
      <c r="AD64" s="1">
        <v>308277</v>
      </c>
      <c r="AE64" s="1">
        <v>345682</v>
      </c>
      <c r="AF64" s="1">
        <v>281052</v>
      </c>
      <c r="AG64" s="1">
        <v>239897</v>
      </c>
      <c r="AH64" s="1">
        <v>205896</v>
      </c>
      <c r="AI64" s="1">
        <v>205559</v>
      </c>
      <c r="AJ64" s="1">
        <v>203168</v>
      </c>
      <c r="AK64" s="1">
        <v>204791</v>
      </c>
      <c r="AL64" s="1">
        <v>183072</v>
      </c>
      <c r="AM64" s="1">
        <v>145987</v>
      </c>
      <c r="AN64" s="1">
        <v>107185</v>
      </c>
      <c r="AO64" s="1">
        <v>72796</v>
      </c>
      <c r="AP64" s="1">
        <v>47733</v>
      </c>
      <c r="AQ64" s="1">
        <v>48659</v>
      </c>
      <c r="AR64" s="1">
        <v>1736520</v>
      </c>
      <c r="AS64" s="1">
        <v>2100082</v>
      </c>
      <c r="AT64" s="1">
        <v>784698</v>
      </c>
      <c r="AU64" s="1">
        <v>2375249</v>
      </c>
      <c r="AV64" s="1">
        <v>13006</v>
      </c>
      <c r="AW64" s="1">
        <v>97042</v>
      </c>
      <c r="AX64" s="1">
        <v>2788</v>
      </c>
      <c r="AY64" s="1">
        <v>9569</v>
      </c>
      <c r="AZ64" s="1">
        <v>98521</v>
      </c>
      <c r="BA64" s="1">
        <v>455883</v>
      </c>
      <c r="BB64" s="1">
        <v>2866627</v>
      </c>
      <c r="BC64" s="1">
        <v>1471272</v>
      </c>
      <c r="BD64" s="1">
        <v>660442</v>
      </c>
      <c r="BE64" s="1">
        <v>209640</v>
      </c>
      <c r="BF64" s="1">
        <v>159542</v>
      </c>
      <c r="BG64" s="1">
        <v>365731</v>
      </c>
      <c r="BH64" s="1">
        <v>2291478</v>
      </c>
      <c r="BI64" s="1">
        <v>150507</v>
      </c>
      <c r="BJ64" s="1">
        <v>294055</v>
      </c>
      <c r="BK64" s="1">
        <v>775127</v>
      </c>
      <c r="BL64" s="1">
        <v>526669</v>
      </c>
      <c r="BM64" s="1">
        <v>174303</v>
      </c>
      <c r="BN64" s="1">
        <v>246774</v>
      </c>
      <c r="BO64" s="1">
        <v>124043</v>
      </c>
      <c r="BP64" s="1">
        <v>2819075</v>
      </c>
      <c r="BQ64" s="1">
        <v>8102</v>
      </c>
      <c r="BR64" s="1">
        <v>1583193</v>
      </c>
      <c r="BS64" s="1">
        <v>117078</v>
      </c>
      <c r="BT64" s="1">
        <v>1110702</v>
      </c>
      <c r="BU64" s="1">
        <v>929328</v>
      </c>
      <c r="BV64" s="1">
        <v>552655</v>
      </c>
      <c r="BW64" s="1">
        <v>155984</v>
      </c>
      <c r="BX64" s="1">
        <v>49175</v>
      </c>
      <c r="BY64" s="1">
        <v>377312</v>
      </c>
      <c r="BZ64" s="1">
        <v>181105</v>
      </c>
      <c r="CA64" s="1">
        <v>38384</v>
      </c>
      <c r="CB64" s="1">
        <v>126794</v>
      </c>
      <c r="CC64" s="2">
        <v>2.54</v>
      </c>
      <c r="CD64" s="1">
        <v>464505</v>
      </c>
      <c r="CE64" s="1">
        <v>408654</v>
      </c>
      <c r="CF64" s="1">
        <v>253406</v>
      </c>
      <c r="CG64" s="1">
        <v>177710</v>
      </c>
      <c r="CH64" s="1">
        <v>97446</v>
      </c>
      <c r="CI64" s="1">
        <v>44300</v>
      </c>
      <c r="CJ64" s="1">
        <v>35962</v>
      </c>
      <c r="CK64" s="2">
        <v>46.79</v>
      </c>
      <c r="CL64" s="1">
        <v>98518</v>
      </c>
      <c r="CM64" s="1">
        <v>314384</v>
      </c>
      <c r="CN64" s="1">
        <v>258397</v>
      </c>
      <c r="CO64" s="1">
        <v>249780</v>
      </c>
      <c r="CP64" s="1">
        <v>257795</v>
      </c>
      <c r="CQ64" s="1">
        <v>181515</v>
      </c>
      <c r="CR64" s="1">
        <v>88471</v>
      </c>
      <c r="CS64" s="1">
        <v>33124</v>
      </c>
      <c r="CT64" s="1">
        <v>302564</v>
      </c>
      <c r="CU64" s="1">
        <v>665685</v>
      </c>
      <c r="CV64" s="1">
        <v>513734</v>
      </c>
      <c r="CW64" s="1">
        <v>15998</v>
      </c>
      <c r="CX64" s="1">
        <v>30851</v>
      </c>
      <c r="CY64" s="1">
        <v>36921</v>
      </c>
      <c r="CZ64" s="1">
        <v>252418</v>
      </c>
      <c r="DA64" s="1">
        <v>139184</v>
      </c>
      <c r="DB64" s="1">
        <v>123366</v>
      </c>
      <c r="DC64" s="1">
        <v>116565</v>
      </c>
      <c r="DD64" s="1">
        <v>95079</v>
      </c>
      <c r="DE64" s="1">
        <v>84433</v>
      </c>
      <c r="DF64" s="1">
        <v>77123</v>
      </c>
      <c r="DG64" s="1">
        <v>71522</v>
      </c>
      <c r="DH64" s="1">
        <v>60261</v>
      </c>
      <c r="DI64" s="1">
        <v>103801</v>
      </c>
      <c r="DJ64" s="1">
        <v>112533</v>
      </c>
      <c r="DK64" s="1">
        <v>118624</v>
      </c>
      <c r="DL64" s="1">
        <v>51518</v>
      </c>
      <c r="DM64" s="1">
        <v>33294</v>
      </c>
      <c r="DN64" s="1">
        <v>25692</v>
      </c>
      <c r="DO64" s="1">
        <v>16569</v>
      </c>
      <c r="DP64" s="1">
        <v>19177</v>
      </c>
      <c r="DQ64" s="1">
        <v>34486</v>
      </c>
      <c r="DR64" s="1">
        <v>37722</v>
      </c>
      <c r="DS64" s="1">
        <v>36340</v>
      </c>
      <c r="DT64" s="1">
        <v>30785</v>
      </c>
      <c r="DU64" s="1">
        <v>26071</v>
      </c>
      <c r="DV64" s="1">
        <v>22589</v>
      </c>
      <c r="DW64" s="2">
        <v>38278.74</v>
      </c>
      <c r="DX64" s="2">
        <v>17951.990000000002</v>
      </c>
      <c r="DY64" s="2">
        <v>1129.74</v>
      </c>
      <c r="DZ64" s="2">
        <v>236.34</v>
      </c>
      <c r="EA64" s="2">
        <v>1339.27</v>
      </c>
      <c r="EB64" s="2">
        <v>1072</v>
      </c>
      <c r="EC64" s="2">
        <v>2056.91</v>
      </c>
      <c r="ED64" s="2">
        <v>5787.55</v>
      </c>
      <c r="EE64" s="2">
        <v>3274.54</v>
      </c>
      <c r="EF64" s="2">
        <v>1278.1300000000001</v>
      </c>
      <c r="EG64" s="2">
        <v>8337.36</v>
      </c>
      <c r="EH64" s="2">
        <v>1458.59</v>
      </c>
      <c r="EI64" s="2">
        <v>710.86</v>
      </c>
      <c r="EJ64" s="2">
        <v>512.17999999999995</v>
      </c>
      <c r="EK64" s="2">
        <v>81.06</v>
      </c>
      <c r="EL64" s="2">
        <v>284.14999999999998</v>
      </c>
      <c r="EM64" s="2">
        <v>6832.5</v>
      </c>
      <c r="EN64" s="2">
        <v>3031.07</v>
      </c>
      <c r="EO64" s="2">
        <v>856.49</v>
      </c>
      <c r="EP64" s="1">
        <v>14309</v>
      </c>
      <c r="EQ64" s="1">
        <v>1841</v>
      </c>
      <c r="ER64" s="1">
        <v>399</v>
      </c>
      <c r="ES64" s="1">
        <v>1836</v>
      </c>
      <c r="ET64" s="1">
        <v>12049</v>
      </c>
      <c r="EU64" s="1">
        <v>19608</v>
      </c>
      <c r="EV64" s="1">
        <v>39978</v>
      </c>
      <c r="EW64" s="1">
        <v>3357</v>
      </c>
      <c r="EX64" s="1">
        <v>9248</v>
      </c>
      <c r="EY64" s="1">
        <v>1741</v>
      </c>
      <c r="EZ64" s="1">
        <v>104862</v>
      </c>
      <c r="FA64" s="1">
        <v>13965</v>
      </c>
      <c r="FB64" s="1">
        <v>42718</v>
      </c>
      <c r="FC64" s="1">
        <v>15053</v>
      </c>
      <c r="FD64" s="1">
        <v>11080</v>
      </c>
      <c r="FE64" s="1">
        <v>41172</v>
      </c>
      <c r="FF64" s="1">
        <v>2547</v>
      </c>
      <c r="FG64" s="1">
        <v>171297</v>
      </c>
      <c r="FH64" s="1">
        <v>19114</v>
      </c>
      <c r="FI64" s="1">
        <v>11613</v>
      </c>
      <c r="FJ64" s="1">
        <v>301</v>
      </c>
      <c r="FK64" s="1">
        <v>1550</v>
      </c>
      <c r="FL64" s="1">
        <v>2331</v>
      </c>
      <c r="FM64" s="1">
        <v>789</v>
      </c>
      <c r="FN64" s="1">
        <v>44472</v>
      </c>
      <c r="FO64" s="1">
        <v>232128</v>
      </c>
      <c r="FP64" s="1">
        <v>221</v>
      </c>
      <c r="FQ64" s="1">
        <v>340</v>
      </c>
      <c r="FR64" s="1">
        <v>468</v>
      </c>
      <c r="FS64" s="1">
        <v>206</v>
      </c>
      <c r="FT64" s="1">
        <v>372</v>
      </c>
      <c r="FU64" s="1">
        <v>345</v>
      </c>
      <c r="FV64" s="1">
        <v>203</v>
      </c>
      <c r="FW64" s="1">
        <v>258</v>
      </c>
      <c r="FX64" s="1">
        <v>182</v>
      </c>
      <c r="FY64" s="1">
        <v>245</v>
      </c>
      <c r="FZ64" s="3">
        <v>-0.47099999999999997</v>
      </c>
      <c r="GA64" s="3">
        <v>-0.627</v>
      </c>
      <c r="GB64" s="3">
        <v>-0.95599999999999996</v>
      </c>
      <c r="GC64" s="3">
        <v>-0.39500000000000002</v>
      </c>
      <c r="GD64" s="3">
        <v>-0.19700000000000001</v>
      </c>
      <c r="GE64" s="3">
        <v>-1.806</v>
      </c>
      <c r="GF64" s="3">
        <v>8.9999999999999993E-3</v>
      </c>
      <c r="GG64" s="3">
        <v>-9.5000000000000001E-2</v>
      </c>
      <c r="GH64" s="3">
        <v>0.27600000000000002</v>
      </c>
      <c r="GI64" s="3">
        <v>-0.38900000000000001</v>
      </c>
      <c r="GJ64" s="3">
        <v>-0.39800000000000002</v>
      </c>
      <c r="GK64" s="3">
        <v>1.2E-2</v>
      </c>
      <c r="GL64" s="3">
        <v>0.13300000000000001</v>
      </c>
      <c r="GM64" s="3">
        <v>-4.4999999999999998E-2</v>
      </c>
      <c r="GN64" s="3">
        <v>-0.16800000000000001</v>
      </c>
      <c r="GO64" s="3">
        <v>-0.60599999999999998</v>
      </c>
      <c r="GP64" s="3">
        <v>1.2310000000000001</v>
      </c>
      <c r="GQ64" s="3">
        <v>0.19600000000000001</v>
      </c>
      <c r="GR64" s="3">
        <v>0.28699999999999998</v>
      </c>
      <c r="GS64" s="3">
        <v>-0.16800000000000001</v>
      </c>
      <c r="GT64" s="3">
        <v>-0.13500000000000001</v>
      </c>
      <c r="GU64" s="3">
        <v>-0.45</v>
      </c>
      <c r="GV64" s="3">
        <v>2.3E-2</v>
      </c>
      <c r="GW64" s="3">
        <v>-6.3E-2</v>
      </c>
      <c r="GX64" s="3">
        <v>7.3999999999999996E-2</v>
      </c>
      <c r="GY64" s="3">
        <v>0.157</v>
      </c>
      <c r="GZ64" s="4">
        <v>82</v>
      </c>
      <c r="HA64" s="4">
        <v>79</v>
      </c>
      <c r="HB64" s="4">
        <v>88</v>
      </c>
      <c r="HC64" s="4">
        <v>55</v>
      </c>
      <c r="HD64" s="4">
        <v>114</v>
      </c>
      <c r="HE64" s="4">
        <v>84</v>
      </c>
      <c r="HF64" s="1">
        <v>7380</v>
      </c>
      <c r="HG64" s="1">
        <v>5500</v>
      </c>
      <c r="HH64" s="1">
        <v>5039</v>
      </c>
      <c r="HI64" s="1">
        <v>4975</v>
      </c>
      <c r="HJ64" s="1">
        <v>5501</v>
      </c>
      <c r="HK64" s="1">
        <v>6728</v>
      </c>
      <c r="HL64" s="1">
        <v>5660</v>
      </c>
      <c r="HM64" s="1">
        <v>16034</v>
      </c>
      <c r="HN64" s="1">
        <v>19682</v>
      </c>
      <c r="HO64" s="1">
        <v>23922</v>
      </c>
      <c r="HP64" s="1">
        <v>27283</v>
      </c>
      <c r="HQ64" s="1">
        <v>32065</v>
      </c>
      <c r="HR64" s="1">
        <v>28024</v>
      </c>
      <c r="HS64" s="1">
        <v>59802</v>
      </c>
      <c r="HT64" s="1">
        <v>42756</v>
      </c>
      <c r="HU64" s="1">
        <v>39534</v>
      </c>
      <c r="HV64" s="1">
        <v>22170</v>
      </c>
      <c r="HW64" s="1">
        <v>27082</v>
      </c>
      <c r="HX64" s="1">
        <v>16394</v>
      </c>
      <c r="HY64" s="1">
        <v>16250</v>
      </c>
      <c r="HZ64" s="1">
        <v>6494</v>
      </c>
      <c r="IA64" s="1">
        <v>6055</v>
      </c>
      <c r="IB64" s="1">
        <v>2183</v>
      </c>
      <c r="IC64" s="1">
        <v>2227</v>
      </c>
      <c r="ID64" s="1">
        <v>111109</v>
      </c>
      <c r="IE64" s="1">
        <v>58990</v>
      </c>
      <c r="IF64" s="1">
        <v>36330</v>
      </c>
      <c r="IG64" s="1">
        <v>38037</v>
      </c>
      <c r="IH64" s="1">
        <v>33632</v>
      </c>
      <c r="II64" s="1">
        <v>27682</v>
      </c>
      <c r="IJ64" s="1">
        <v>34525</v>
      </c>
      <c r="IK64" s="1">
        <v>41957</v>
      </c>
      <c r="IL64" s="1">
        <v>54045</v>
      </c>
      <c r="IM64" s="1">
        <v>62404</v>
      </c>
      <c r="IN64" s="1">
        <v>68170</v>
      </c>
      <c r="IO64" s="1">
        <v>68188</v>
      </c>
      <c r="IP64" s="1">
        <v>65187</v>
      </c>
      <c r="IQ64" s="1">
        <v>57321</v>
      </c>
      <c r="IR64" s="1">
        <v>45425</v>
      </c>
      <c r="IS64" s="1">
        <v>38570</v>
      </c>
      <c r="IT64" s="1">
        <v>56653</v>
      </c>
      <c r="IU64" s="1">
        <v>30920</v>
      </c>
      <c r="IV64" s="1">
        <v>36155</v>
      </c>
      <c r="IW64">
        <v>11534</v>
      </c>
      <c r="IX64">
        <v>8516</v>
      </c>
      <c r="IY64">
        <v>3702</v>
      </c>
      <c r="IZ64">
        <v>40499</v>
      </c>
      <c r="JA64">
        <v>526</v>
      </c>
      <c r="JB64">
        <v>306591</v>
      </c>
      <c r="JC64">
        <v>25060</v>
      </c>
      <c r="JD64">
        <v>4033</v>
      </c>
      <c r="JE64">
        <v>3405</v>
      </c>
      <c r="JF64">
        <v>3676</v>
      </c>
      <c r="JG64">
        <v>1975</v>
      </c>
      <c r="JH64">
        <v>1826</v>
      </c>
      <c r="JI64">
        <v>1579</v>
      </c>
      <c r="JJ64">
        <v>16610</v>
      </c>
      <c r="JK64">
        <v>350</v>
      </c>
      <c r="JL64">
        <v>168473</v>
      </c>
      <c r="JM64">
        <v>72738</v>
      </c>
      <c r="JN64">
        <v>71010</v>
      </c>
      <c r="JO64">
        <v>112443</v>
      </c>
      <c r="JP64">
        <v>169763</v>
      </c>
      <c r="JQ64">
        <v>120068</v>
      </c>
      <c r="JR64">
        <v>52925</v>
      </c>
      <c r="JS64">
        <v>66094</v>
      </c>
      <c r="JT64">
        <v>20360</v>
      </c>
      <c r="JU64">
        <v>413</v>
      </c>
      <c r="JV64">
        <v>87086</v>
      </c>
      <c r="JW64">
        <v>90307</v>
      </c>
      <c r="JX64">
        <v>136535</v>
      </c>
      <c r="JY64">
        <v>164979</v>
      </c>
      <c r="JZ64">
        <v>244641</v>
      </c>
      <c r="KA64">
        <v>183926</v>
      </c>
      <c r="KB64">
        <v>137716</v>
      </c>
      <c r="KC64">
        <v>67608</v>
      </c>
      <c r="KD64">
        <v>106594</v>
      </c>
      <c r="KE64">
        <v>6717</v>
      </c>
      <c r="KF64">
        <v>2893</v>
      </c>
      <c r="KG64">
        <v>57523</v>
      </c>
      <c r="KH64">
        <v>104615</v>
      </c>
      <c r="KI64">
        <v>26106</v>
      </c>
      <c r="KJ64">
        <v>148097</v>
      </c>
      <c r="KK64">
        <v>54269</v>
      </c>
      <c r="KL64">
        <v>7649</v>
      </c>
      <c r="KM64">
        <v>19402</v>
      </c>
      <c r="KN64">
        <v>38067</v>
      </c>
      <c r="KO64">
        <v>20073</v>
      </c>
      <c r="KP64">
        <v>31887</v>
      </c>
      <c r="KQ64">
        <v>694</v>
      </c>
      <c r="KR64">
        <v>68496</v>
      </c>
      <c r="KS64">
        <v>84707</v>
      </c>
      <c r="KT64">
        <v>198305</v>
      </c>
      <c r="KU64">
        <v>19255</v>
      </c>
      <c r="KV64">
        <v>122876</v>
      </c>
      <c r="KW64">
        <v>56770</v>
      </c>
      <c r="KX64">
        <v>52738</v>
      </c>
      <c r="KY64">
        <v>805778</v>
      </c>
      <c r="KZ64">
        <v>16829</v>
      </c>
      <c r="LA64">
        <v>87681</v>
      </c>
      <c r="LB64">
        <v>81648</v>
      </c>
      <c r="LC64">
        <v>54282</v>
      </c>
      <c r="LD64">
        <v>31441</v>
      </c>
      <c r="LE64">
        <v>42623</v>
      </c>
      <c r="LF64">
        <v>857</v>
      </c>
      <c r="LG64">
        <v>1071594</v>
      </c>
      <c r="LH64">
        <v>24115</v>
      </c>
      <c r="LI64">
        <v>60442</v>
      </c>
      <c r="LJ64">
        <v>7354</v>
      </c>
      <c r="LK64">
        <v>24859</v>
      </c>
      <c r="LL64">
        <v>5779</v>
      </c>
      <c r="LM64">
        <v>10469</v>
      </c>
      <c r="LN64">
        <v>4604</v>
      </c>
      <c r="LO64">
        <v>10176</v>
      </c>
      <c r="LP64">
        <v>2367.6789600000002</v>
      </c>
      <c r="LQ64">
        <v>1489.9405999999999</v>
      </c>
    </row>
    <row r="65" spans="1:329" x14ac:dyDescent="0.25">
      <c r="A65" s="5" t="s">
        <v>387</v>
      </c>
      <c r="B65" s="5" t="s">
        <v>320</v>
      </c>
      <c r="C65" s="1">
        <v>6708727</v>
      </c>
      <c r="D65" s="1">
        <v>6409205</v>
      </c>
      <c r="E65" s="1">
        <v>5931603</v>
      </c>
      <c r="F65" s="1">
        <v>5913512</v>
      </c>
      <c r="G65" s="1">
        <v>6063527</v>
      </c>
      <c r="H65" s="1">
        <v>2349849</v>
      </c>
      <c r="I65" s="1">
        <v>2338404</v>
      </c>
      <c r="J65" s="1">
        <v>2233864</v>
      </c>
      <c r="K65" s="1">
        <v>2349526</v>
      </c>
      <c r="L65" s="1">
        <v>2441843</v>
      </c>
      <c r="M65" s="1">
        <v>2610974</v>
      </c>
      <c r="N65" s="1">
        <v>1396379</v>
      </c>
      <c r="O65" s="1">
        <v>953147</v>
      </c>
      <c r="P65" s="1">
        <v>261448</v>
      </c>
      <c r="Q65" s="1">
        <v>346948</v>
      </c>
      <c r="R65" s="1">
        <v>19167</v>
      </c>
      <c r="S65" s="1">
        <v>360</v>
      </c>
      <c r="T65" s="1">
        <v>4837044</v>
      </c>
      <c r="U65" s="1">
        <v>991055</v>
      </c>
      <c r="V65" s="1">
        <v>85413</v>
      </c>
      <c r="W65" s="1">
        <v>6444</v>
      </c>
      <c r="X65" s="1">
        <v>64</v>
      </c>
      <c r="Y65" s="2">
        <v>37.36</v>
      </c>
      <c r="Z65" s="1">
        <v>387426</v>
      </c>
      <c r="AA65" s="1">
        <v>391657</v>
      </c>
      <c r="AB65" s="1">
        <v>401202</v>
      </c>
      <c r="AC65" s="1">
        <v>389064</v>
      </c>
      <c r="AD65" s="1">
        <v>373860</v>
      </c>
      <c r="AE65" s="1">
        <v>416035</v>
      </c>
      <c r="AF65" s="1">
        <v>364412</v>
      </c>
      <c r="AG65" s="1">
        <v>346695</v>
      </c>
      <c r="AH65" s="1">
        <v>322137</v>
      </c>
      <c r="AI65" s="1">
        <v>347289</v>
      </c>
      <c r="AJ65" s="1">
        <v>369683</v>
      </c>
      <c r="AK65" s="1">
        <v>404891</v>
      </c>
      <c r="AL65" s="1">
        <v>393618</v>
      </c>
      <c r="AM65" s="1">
        <v>337545</v>
      </c>
      <c r="AN65" s="1">
        <v>259779</v>
      </c>
      <c r="AO65" s="1">
        <v>179368</v>
      </c>
      <c r="AP65" s="1">
        <v>116844</v>
      </c>
      <c r="AQ65" s="1">
        <v>112007</v>
      </c>
      <c r="AR65" s="1">
        <v>2759154</v>
      </c>
      <c r="AS65" s="1">
        <v>3154358</v>
      </c>
      <c r="AT65" s="1">
        <v>1074420</v>
      </c>
      <c r="AU65" s="1">
        <v>4267616</v>
      </c>
      <c r="AV65" s="1">
        <v>16609</v>
      </c>
      <c r="AW65" s="1">
        <v>58166</v>
      </c>
      <c r="AX65" s="1">
        <v>1764</v>
      </c>
      <c r="AY65" s="1">
        <v>10327</v>
      </c>
      <c r="AZ65" s="1">
        <v>94769</v>
      </c>
      <c r="BA65" s="1">
        <v>390128</v>
      </c>
      <c r="BB65" s="1">
        <v>4733225</v>
      </c>
      <c r="BC65" s="1">
        <v>2073367</v>
      </c>
      <c r="BD65" s="1">
        <v>1323082</v>
      </c>
      <c r="BE65" s="1">
        <v>324857</v>
      </c>
      <c r="BF65" s="1">
        <v>386470</v>
      </c>
      <c r="BG65" s="1">
        <v>625449</v>
      </c>
      <c r="BH65" s="1">
        <v>3970302</v>
      </c>
      <c r="BI65" s="1">
        <v>235691</v>
      </c>
      <c r="BJ65" s="1">
        <v>504998</v>
      </c>
      <c r="BK65" s="1">
        <v>1392919</v>
      </c>
      <c r="BL65" s="1">
        <v>892655</v>
      </c>
      <c r="BM65" s="1">
        <v>294791</v>
      </c>
      <c r="BN65" s="1">
        <v>417783</v>
      </c>
      <c r="BO65" s="1">
        <v>231465</v>
      </c>
      <c r="BP65" s="1">
        <v>4662690</v>
      </c>
      <c r="BQ65" s="1">
        <v>6291</v>
      </c>
      <c r="BR65" s="1">
        <v>2426347</v>
      </c>
      <c r="BS65" s="1">
        <v>160761</v>
      </c>
      <c r="BT65" s="1">
        <v>2069291</v>
      </c>
      <c r="BU65" s="1">
        <v>1499769</v>
      </c>
      <c r="BV65" s="1">
        <v>849757</v>
      </c>
      <c r="BW65" s="1">
        <v>284249</v>
      </c>
      <c r="BX65" s="1">
        <v>70938</v>
      </c>
      <c r="BY65" s="1">
        <v>424030</v>
      </c>
      <c r="BZ65" s="1">
        <v>421684</v>
      </c>
      <c r="CA65" s="1">
        <v>70489</v>
      </c>
      <c r="CB65" s="1">
        <v>227439</v>
      </c>
      <c r="CC65" s="2">
        <v>2.48</v>
      </c>
      <c r="CD65" s="1">
        <v>741490</v>
      </c>
      <c r="CE65" s="1">
        <v>700710</v>
      </c>
      <c r="CF65" s="1">
        <v>376138</v>
      </c>
      <c r="CG65" s="1">
        <v>263040</v>
      </c>
      <c r="CH65" s="1">
        <v>145372</v>
      </c>
      <c r="CI65" s="1">
        <v>66345</v>
      </c>
      <c r="CJ65" s="1">
        <v>56431</v>
      </c>
      <c r="CK65" s="2">
        <v>53.17</v>
      </c>
      <c r="CL65" s="1">
        <v>103376</v>
      </c>
      <c r="CM65" s="1">
        <v>349793</v>
      </c>
      <c r="CN65" s="1">
        <v>355232</v>
      </c>
      <c r="CO65" s="1">
        <v>399496</v>
      </c>
      <c r="CP65" s="1">
        <v>480801</v>
      </c>
      <c r="CQ65" s="1">
        <v>387970</v>
      </c>
      <c r="CR65" s="1">
        <v>200688</v>
      </c>
      <c r="CS65" s="1">
        <v>72171</v>
      </c>
      <c r="CT65" s="1">
        <v>306784</v>
      </c>
      <c r="CU65" s="1">
        <v>946403</v>
      </c>
      <c r="CV65" s="1">
        <v>1096338</v>
      </c>
      <c r="CW65" s="1">
        <v>19219</v>
      </c>
      <c r="CX65" s="1">
        <v>36479</v>
      </c>
      <c r="CY65" s="1">
        <v>45921</v>
      </c>
      <c r="CZ65" s="1">
        <v>298802</v>
      </c>
      <c r="DA65" s="1">
        <v>190317</v>
      </c>
      <c r="DB65" s="1">
        <v>184059</v>
      </c>
      <c r="DC65" s="1">
        <v>178937</v>
      </c>
      <c r="DD65" s="1">
        <v>149073</v>
      </c>
      <c r="DE65" s="1">
        <v>136734</v>
      </c>
      <c r="DF65" s="1">
        <v>124450</v>
      </c>
      <c r="DG65" s="1">
        <v>119938</v>
      </c>
      <c r="DH65" s="1">
        <v>105340</v>
      </c>
      <c r="DI65" s="1">
        <v>184275</v>
      </c>
      <c r="DJ65" s="1">
        <v>207511</v>
      </c>
      <c r="DK65" s="1">
        <v>223434</v>
      </c>
      <c r="DL65" s="1">
        <v>98950</v>
      </c>
      <c r="DM65" s="1">
        <v>63513</v>
      </c>
      <c r="DN65" s="1">
        <v>52568</v>
      </c>
      <c r="DO65" s="1">
        <v>31627</v>
      </c>
      <c r="DP65" s="1">
        <v>22956</v>
      </c>
      <c r="DQ65" s="1">
        <v>39735</v>
      </c>
      <c r="DR65" s="1">
        <v>43815</v>
      </c>
      <c r="DS65" s="1">
        <v>43266</v>
      </c>
      <c r="DT65" s="1">
        <v>39861</v>
      </c>
      <c r="DU65" s="1">
        <v>31827</v>
      </c>
      <c r="DV65" s="1">
        <v>25745</v>
      </c>
      <c r="DW65" s="2">
        <v>42358.7</v>
      </c>
      <c r="DX65" s="2">
        <v>19966.09</v>
      </c>
      <c r="DY65" s="2">
        <v>1296.5</v>
      </c>
      <c r="DZ65" s="2">
        <v>274.27999999999997</v>
      </c>
      <c r="EA65" s="2">
        <v>1466.09</v>
      </c>
      <c r="EB65" s="2">
        <v>1156.1199999999999</v>
      </c>
      <c r="EC65" s="2">
        <v>2311.2600000000002</v>
      </c>
      <c r="ED65" s="2">
        <v>6353.06</v>
      </c>
      <c r="EE65" s="2">
        <v>3695.41</v>
      </c>
      <c r="EF65" s="2">
        <v>1436.97</v>
      </c>
      <c r="EG65" s="2">
        <v>9046.6299999999992</v>
      </c>
      <c r="EH65" s="2">
        <v>1634.74</v>
      </c>
      <c r="EI65" s="2">
        <v>794.28</v>
      </c>
      <c r="EJ65" s="2">
        <v>567.11</v>
      </c>
      <c r="EK65" s="2">
        <v>91.4</v>
      </c>
      <c r="EL65" s="2">
        <v>300.95</v>
      </c>
      <c r="EM65" s="2">
        <v>7638.85</v>
      </c>
      <c r="EN65" s="2">
        <v>3338.16</v>
      </c>
      <c r="EO65" s="2">
        <v>956.89</v>
      </c>
      <c r="EP65" s="1">
        <v>15219</v>
      </c>
      <c r="EQ65" s="1">
        <v>1759</v>
      </c>
      <c r="ER65" s="1">
        <v>402</v>
      </c>
      <c r="ES65" s="1">
        <v>1908</v>
      </c>
      <c r="ET65" s="1">
        <v>13818</v>
      </c>
      <c r="EU65" s="1">
        <v>23576</v>
      </c>
      <c r="EV65" s="1">
        <v>44359</v>
      </c>
      <c r="EW65" s="1">
        <v>3479</v>
      </c>
      <c r="EX65" s="1">
        <v>10167</v>
      </c>
      <c r="EY65" s="1">
        <v>1838</v>
      </c>
      <c r="EZ65" s="1">
        <v>117481</v>
      </c>
      <c r="FA65" s="1">
        <v>15362</v>
      </c>
      <c r="FB65" s="1">
        <v>61485</v>
      </c>
      <c r="FC65" s="1">
        <v>16434</v>
      </c>
      <c r="FD65" s="1">
        <v>12185</v>
      </c>
      <c r="FE65" s="1">
        <v>45377</v>
      </c>
      <c r="FF65" s="1">
        <v>2867</v>
      </c>
      <c r="FG65" s="1">
        <v>184808</v>
      </c>
      <c r="FH65" s="1">
        <v>21329</v>
      </c>
      <c r="FI65" s="1">
        <v>12611</v>
      </c>
      <c r="FJ65" s="1">
        <v>390</v>
      </c>
      <c r="FK65" s="1">
        <v>1657</v>
      </c>
      <c r="FL65" s="1">
        <v>2528</v>
      </c>
      <c r="FM65" s="1">
        <v>829</v>
      </c>
      <c r="FN65" s="1">
        <v>48136</v>
      </c>
      <c r="FO65" s="1">
        <v>254533</v>
      </c>
      <c r="FP65" s="1">
        <v>191</v>
      </c>
      <c r="FQ65" s="1">
        <v>273</v>
      </c>
      <c r="FR65" s="1">
        <v>420</v>
      </c>
      <c r="FS65" s="1">
        <v>149</v>
      </c>
      <c r="FT65" s="1">
        <v>287</v>
      </c>
      <c r="FU65" s="1">
        <v>283</v>
      </c>
      <c r="FV65" s="1">
        <v>179</v>
      </c>
      <c r="FW65" s="1">
        <v>257</v>
      </c>
      <c r="FX65" s="1">
        <v>155</v>
      </c>
      <c r="FY65" s="1">
        <v>191</v>
      </c>
      <c r="FZ65" s="3">
        <v>-0.51300000000000001</v>
      </c>
      <c r="GA65" s="3">
        <v>-7.9000000000000001E-2</v>
      </c>
      <c r="GB65" s="3">
        <v>0.02</v>
      </c>
      <c r="GC65" s="3">
        <v>-0.57899999999999996</v>
      </c>
      <c r="GD65" s="3">
        <v>-0.57099999999999995</v>
      </c>
      <c r="GE65" s="3">
        <v>-2.444</v>
      </c>
      <c r="GF65" s="3">
        <v>-0.24299999999999999</v>
      </c>
      <c r="GG65" s="3">
        <v>0.19700000000000001</v>
      </c>
      <c r="GH65" s="3">
        <v>0.10199999999999999</v>
      </c>
      <c r="GI65" s="3">
        <v>2E-3</v>
      </c>
      <c r="GJ65" s="3">
        <v>-0.18</v>
      </c>
      <c r="GK65" s="3">
        <v>-4.7E-2</v>
      </c>
      <c r="GL65" s="3">
        <v>-0.21299999999999999</v>
      </c>
      <c r="GM65" s="3">
        <v>-0.17499999999999999</v>
      </c>
      <c r="GN65" s="3">
        <v>-0.34699999999999998</v>
      </c>
      <c r="GO65" s="3">
        <v>-0.159</v>
      </c>
      <c r="GP65" s="3">
        <v>0.496</v>
      </c>
      <c r="GQ65" s="3">
        <v>-9.7000000000000003E-2</v>
      </c>
      <c r="GR65" s="3">
        <v>-7.1999999999999995E-2</v>
      </c>
      <c r="GS65" s="3">
        <v>0.13100000000000001</v>
      </c>
      <c r="GT65" s="3">
        <v>-0.14699999999999999</v>
      </c>
      <c r="GU65" s="3">
        <v>-0.14099999999999999</v>
      </c>
      <c r="GV65" s="3">
        <v>-0.105</v>
      </c>
      <c r="GW65" s="3">
        <v>-0.10299999999999999</v>
      </c>
      <c r="GX65" s="3">
        <v>-0.14199999999999999</v>
      </c>
      <c r="GY65" s="3">
        <v>-6.4000000000000001E-2</v>
      </c>
      <c r="GZ65" s="4">
        <v>77</v>
      </c>
      <c r="HA65" s="4">
        <v>83</v>
      </c>
      <c r="HB65" s="4">
        <v>79</v>
      </c>
      <c r="HC65" s="4">
        <v>50</v>
      </c>
      <c r="HD65" s="4">
        <v>88</v>
      </c>
      <c r="HE65" s="4">
        <v>80</v>
      </c>
      <c r="HF65" s="1">
        <v>28773</v>
      </c>
      <c r="HG65" s="1">
        <v>23384</v>
      </c>
      <c r="HH65" s="1">
        <v>21527</v>
      </c>
      <c r="HI65" s="1">
        <v>24980</v>
      </c>
      <c r="HJ65" s="1">
        <v>25518</v>
      </c>
      <c r="HK65" s="1">
        <v>32293</v>
      </c>
      <c r="HL65" s="1">
        <v>24465</v>
      </c>
      <c r="HM65" s="1">
        <v>73715</v>
      </c>
      <c r="HN65" s="1">
        <v>86667</v>
      </c>
      <c r="HO65" s="1">
        <v>99465</v>
      </c>
      <c r="HP65" s="1">
        <v>108252</v>
      </c>
      <c r="HQ65" s="1">
        <v>118392</v>
      </c>
      <c r="HR65" s="1">
        <v>87462</v>
      </c>
      <c r="HS65" s="1">
        <v>149866</v>
      </c>
      <c r="HT65" s="1">
        <v>94882</v>
      </c>
      <c r="HU65" s="1">
        <v>96083</v>
      </c>
      <c r="HV65" s="1">
        <v>51811</v>
      </c>
      <c r="HW65" s="1">
        <v>66740</v>
      </c>
      <c r="HX65" s="1">
        <v>42538</v>
      </c>
      <c r="HY65" s="1">
        <v>39591</v>
      </c>
      <c r="HZ65" s="1">
        <v>15600</v>
      </c>
      <c r="IA65" s="1">
        <v>14402</v>
      </c>
      <c r="IB65" s="1">
        <v>4323</v>
      </c>
      <c r="IC65" s="1">
        <v>5920</v>
      </c>
      <c r="ID65" s="1">
        <v>90101</v>
      </c>
      <c r="IE65" s="1">
        <v>35360</v>
      </c>
      <c r="IF65" s="1">
        <v>30565</v>
      </c>
      <c r="IG65" s="1">
        <v>30311</v>
      </c>
      <c r="IH65" s="1">
        <v>34358</v>
      </c>
      <c r="II65" s="1">
        <v>39282</v>
      </c>
      <c r="IJ65" s="1">
        <v>54595</v>
      </c>
      <c r="IK65" s="1">
        <v>62024</v>
      </c>
      <c r="IL65" s="1">
        <v>70819</v>
      </c>
      <c r="IM65" s="1">
        <v>69325</v>
      </c>
      <c r="IN65" s="1">
        <v>68918</v>
      </c>
      <c r="IO65" s="1">
        <v>55703</v>
      </c>
      <c r="IP65" s="1">
        <v>52229</v>
      </c>
      <c r="IQ65" s="1">
        <v>43310</v>
      </c>
      <c r="IR65" s="1">
        <v>34438</v>
      </c>
      <c r="IS65" s="1">
        <v>26407</v>
      </c>
      <c r="IT65" s="1">
        <v>41565</v>
      </c>
      <c r="IU65" s="1">
        <v>23503</v>
      </c>
      <c r="IV65" s="1">
        <v>26788</v>
      </c>
      <c r="IW65">
        <v>6233</v>
      </c>
      <c r="IX65">
        <v>4626</v>
      </c>
      <c r="IY65">
        <v>2123</v>
      </c>
      <c r="IZ65">
        <v>74947</v>
      </c>
      <c r="JA65">
        <v>460</v>
      </c>
      <c r="JB65">
        <v>1025483</v>
      </c>
      <c r="JC65">
        <v>15989</v>
      </c>
      <c r="JD65">
        <v>3519</v>
      </c>
      <c r="JE65">
        <v>2374</v>
      </c>
      <c r="JF65">
        <v>1411</v>
      </c>
      <c r="JG65">
        <v>815</v>
      </c>
      <c r="JH65">
        <v>1131</v>
      </c>
      <c r="JI65">
        <v>1288</v>
      </c>
      <c r="JJ65">
        <v>78522</v>
      </c>
      <c r="JK65">
        <v>820</v>
      </c>
      <c r="JL65">
        <v>445152</v>
      </c>
      <c r="JM65">
        <v>25863</v>
      </c>
      <c r="JN65">
        <v>75319</v>
      </c>
      <c r="JO65">
        <v>70283</v>
      </c>
      <c r="JP65">
        <v>72988</v>
      </c>
      <c r="JQ65">
        <v>40657</v>
      </c>
      <c r="JR65">
        <v>27444</v>
      </c>
      <c r="JS65">
        <v>25129</v>
      </c>
      <c r="JT65">
        <v>48755</v>
      </c>
      <c r="JU65">
        <v>544</v>
      </c>
      <c r="JV65">
        <v>102615</v>
      </c>
      <c r="JW65">
        <v>108529</v>
      </c>
      <c r="JX65">
        <v>214905</v>
      </c>
      <c r="JY65">
        <v>246474</v>
      </c>
      <c r="JZ65">
        <v>363339</v>
      </c>
      <c r="KA65">
        <v>334743</v>
      </c>
      <c r="KB65">
        <v>301573</v>
      </c>
      <c r="KC65">
        <v>136449</v>
      </c>
      <c r="KD65">
        <v>154859</v>
      </c>
      <c r="KE65">
        <v>20186</v>
      </c>
      <c r="KF65">
        <v>8388</v>
      </c>
      <c r="KG65">
        <v>100170</v>
      </c>
      <c r="KH65">
        <v>215385</v>
      </c>
      <c r="KI65">
        <v>41266</v>
      </c>
      <c r="KJ65">
        <v>216866</v>
      </c>
      <c r="KK65">
        <v>90053</v>
      </c>
      <c r="KL65">
        <v>15926</v>
      </c>
      <c r="KM65">
        <v>27781</v>
      </c>
      <c r="KN65">
        <v>53814</v>
      </c>
      <c r="KO65">
        <v>21523</v>
      </c>
      <c r="KP65">
        <v>40751</v>
      </c>
      <c r="KQ65">
        <v>911</v>
      </c>
      <c r="KR65">
        <v>93611</v>
      </c>
      <c r="KS65">
        <v>175522</v>
      </c>
      <c r="KT65">
        <v>310489</v>
      </c>
      <c r="KU65">
        <v>31634</v>
      </c>
      <c r="KV65">
        <v>167321</v>
      </c>
      <c r="KW65">
        <v>92816</v>
      </c>
      <c r="KX65">
        <v>112834</v>
      </c>
      <c r="KY65">
        <v>1241229</v>
      </c>
      <c r="KZ65">
        <v>29451</v>
      </c>
      <c r="LA65">
        <v>118929</v>
      </c>
      <c r="LB65">
        <v>175622</v>
      </c>
      <c r="LC65">
        <v>128834</v>
      </c>
      <c r="LD65">
        <v>58822</v>
      </c>
      <c r="LE65">
        <v>82519</v>
      </c>
      <c r="LF65">
        <v>1841</v>
      </c>
      <c r="LG65">
        <v>1833028</v>
      </c>
      <c r="LH65">
        <v>22627</v>
      </c>
      <c r="LI65">
        <v>59530</v>
      </c>
      <c r="LJ65">
        <v>4735</v>
      </c>
      <c r="LK65">
        <v>28343</v>
      </c>
      <c r="LL65">
        <v>2944</v>
      </c>
      <c r="LM65">
        <v>6544</v>
      </c>
      <c r="LN65">
        <v>921</v>
      </c>
      <c r="LO65">
        <v>4814</v>
      </c>
      <c r="LP65">
        <v>17803.876950000002</v>
      </c>
      <c r="LQ65">
        <v>298.29581999999999</v>
      </c>
    </row>
    <row r="66" spans="1:329" x14ac:dyDescent="0.25">
      <c r="A66" s="5" t="s">
        <v>388</v>
      </c>
      <c r="B66" s="5" t="s">
        <v>321</v>
      </c>
      <c r="C66" s="1">
        <v>3594098</v>
      </c>
      <c r="D66" s="1">
        <v>3607597</v>
      </c>
      <c r="E66" s="1">
        <v>3520597</v>
      </c>
      <c r="F66" s="1">
        <v>3603602</v>
      </c>
      <c r="G66" s="1">
        <v>3766614</v>
      </c>
      <c r="H66" s="1">
        <v>1476617</v>
      </c>
      <c r="I66" s="1">
        <v>1476404</v>
      </c>
      <c r="J66" s="1">
        <v>1426913</v>
      </c>
      <c r="K66" s="1">
        <v>1531154</v>
      </c>
      <c r="L66" s="1">
        <v>1603568</v>
      </c>
      <c r="M66" s="1">
        <v>1690861</v>
      </c>
      <c r="N66" s="1">
        <v>608891</v>
      </c>
      <c r="O66" s="1">
        <v>922263</v>
      </c>
      <c r="P66" s="1">
        <v>159707</v>
      </c>
      <c r="Q66" s="1">
        <v>246867</v>
      </c>
      <c r="R66" s="1">
        <v>11782</v>
      </c>
      <c r="S66" s="1">
        <v>189</v>
      </c>
      <c r="T66" s="1">
        <v>2586316</v>
      </c>
      <c r="U66" s="1">
        <v>875174</v>
      </c>
      <c r="V66" s="1">
        <v>142112</v>
      </c>
      <c r="W66" s="1">
        <v>9068</v>
      </c>
      <c r="X66" s="1">
        <v>1073</v>
      </c>
      <c r="Y66" s="2">
        <v>32.99</v>
      </c>
      <c r="Z66" s="1">
        <v>268608</v>
      </c>
      <c r="AA66" s="1">
        <v>238295</v>
      </c>
      <c r="AB66" s="1">
        <v>224357</v>
      </c>
      <c r="AC66" s="1">
        <v>232188</v>
      </c>
      <c r="AD66" s="1">
        <v>308823</v>
      </c>
      <c r="AE66" s="1">
        <v>320048</v>
      </c>
      <c r="AF66" s="1">
        <v>262562</v>
      </c>
      <c r="AG66" s="1">
        <v>230979</v>
      </c>
      <c r="AH66" s="1">
        <v>203868</v>
      </c>
      <c r="AI66" s="1">
        <v>208529</v>
      </c>
      <c r="AJ66" s="1">
        <v>207131</v>
      </c>
      <c r="AK66" s="1">
        <v>211713</v>
      </c>
      <c r="AL66" s="1">
        <v>190445</v>
      </c>
      <c r="AM66" s="1">
        <v>156207</v>
      </c>
      <c r="AN66" s="1">
        <v>123214</v>
      </c>
      <c r="AO66" s="1">
        <v>88582</v>
      </c>
      <c r="AP66" s="1">
        <v>61100</v>
      </c>
      <c r="AQ66" s="1">
        <v>66954</v>
      </c>
      <c r="AR66" s="1">
        <v>1792862</v>
      </c>
      <c r="AS66" s="1">
        <v>1810740</v>
      </c>
      <c r="AT66" s="1">
        <v>2169655</v>
      </c>
      <c r="AU66" s="1">
        <v>619399</v>
      </c>
      <c r="AV66" s="1">
        <v>38233</v>
      </c>
      <c r="AW66" s="1">
        <v>84736</v>
      </c>
      <c r="AX66" s="1">
        <v>3727</v>
      </c>
      <c r="AY66" s="1">
        <v>5913</v>
      </c>
      <c r="AZ66" s="1">
        <v>126815</v>
      </c>
      <c r="BA66" s="1">
        <v>555521</v>
      </c>
      <c r="BB66" s="1">
        <v>2872344</v>
      </c>
      <c r="BC66" s="1">
        <v>1153927</v>
      </c>
      <c r="BD66" s="1">
        <v>879839</v>
      </c>
      <c r="BE66" s="1">
        <v>182158</v>
      </c>
      <c r="BF66" s="1">
        <v>187285</v>
      </c>
      <c r="BG66" s="1">
        <v>469135</v>
      </c>
      <c r="BH66" s="1">
        <v>2331332</v>
      </c>
      <c r="BI66" s="1">
        <v>155727</v>
      </c>
      <c r="BJ66" s="1">
        <v>280277</v>
      </c>
      <c r="BK66" s="1">
        <v>831168</v>
      </c>
      <c r="BL66" s="1">
        <v>510587</v>
      </c>
      <c r="BM66" s="1">
        <v>185415</v>
      </c>
      <c r="BN66" s="1">
        <v>247014</v>
      </c>
      <c r="BO66" s="1">
        <v>121144</v>
      </c>
      <c r="BP66" s="1">
        <v>2834153</v>
      </c>
      <c r="BQ66" s="1">
        <v>10325</v>
      </c>
      <c r="BR66" s="1">
        <v>1552046</v>
      </c>
      <c r="BS66" s="1">
        <v>87989</v>
      </c>
      <c r="BT66" s="1">
        <v>1183793</v>
      </c>
      <c r="BU66" s="1">
        <v>814521</v>
      </c>
      <c r="BV66" s="1">
        <v>716633</v>
      </c>
      <c r="BW66" s="1">
        <v>196123</v>
      </c>
      <c r="BX66" s="1">
        <v>54899</v>
      </c>
      <c r="BY66" s="1">
        <v>195013</v>
      </c>
      <c r="BZ66" s="1">
        <v>252440</v>
      </c>
      <c r="CA66" s="1">
        <v>36311</v>
      </c>
      <c r="CB66" s="1">
        <v>79020</v>
      </c>
      <c r="CC66" s="2">
        <v>2.2599999999999998</v>
      </c>
      <c r="CD66" s="1">
        <v>594370</v>
      </c>
      <c r="CE66" s="1">
        <v>441174</v>
      </c>
      <c r="CF66" s="1">
        <v>211048</v>
      </c>
      <c r="CG66" s="1">
        <v>147672</v>
      </c>
      <c r="CH66" s="1">
        <v>77538</v>
      </c>
      <c r="CI66" s="1">
        <v>33782</v>
      </c>
      <c r="CJ66" s="1">
        <v>25571</v>
      </c>
      <c r="CK66" s="2">
        <v>48.9</v>
      </c>
      <c r="CL66" s="1">
        <v>101687</v>
      </c>
      <c r="CM66" s="1">
        <v>290750</v>
      </c>
      <c r="CN66" s="1">
        <v>248659</v>
      </c>
      <c r="CO66" s="1">
        <v>254038</v>
      </c>
      <c r="CP66" s="1">
        <v>268685</v>
      </c>
      <c r="CQ66" s="1">
        <v>201544</v>
      </c>
      <c r="CR66" s="1">
        <v>115112</v>
      </c>
      <c r="CS66" s="1">
        <v>50680</v>
      </c>
      <c r="CT66" s="1">
        <v>236703</v>
      </c>
      <c r="CU66" s="1">
        <v>659773</v>
      </c>
      <c r="CV66" s="1">
        <v>634679</v>
      </c>
      <c r="CW66" s="1">
        <v>18901</v>
      </c>
      <c r="CX66" s="1">
        <v>34640</v>
      </c>
      <c r="CY66" s="1">
        <v>44810</v>
      </c>
      <c r="CZ66" s="1">
        <v>187153</v>
      </c>
      <c r="DA66" s="1">
        <v>133284</v>
      </c>
      <c r="DB66" s="1">
        <v>126264</v>
      </c>
      <c r="DC66" s="1">
        <v>126169</v>
      </c>
      <c r="DD66" s="1">
        <v>104320</v>
      </c>
      <c r="DE66" s="1">
        <v>95231</v>
      </c>
      <c r="DF66" s="1">
        <v>86715</v>
      </c>
      <c r="DG66" s="1">
        <v>82268</v>
      </c>
      <c r="DH66" s="1">
        <v>70356</v>
      </c>
      <c r="DI66" s="1">
        <v>122915</v>
      </c>
      <c r="DJ66" s="1">
        <v>133489</v>
      </c>
      <c r="DK66" s="1">
        <v>135037</v>
      </c>
      <c r="DL66" s="1">
        <v>55595</v>
      </c>
      <c r="DM66" s="1">
        <v>32132</v>
      </c>
      <c r="DN66" s="1">
        <v>24622</v>
      </c>
      <c r="DO66" s="1">
        <v>15604</v>
      </c>
      <c r="DP66" s="1">
        <v>24555</v>
      </c>
      <c r="DQ66" s="1">
        <v>38595</v>
      </c>
      <c r="DR66" s="1">
        <v>40528</v>
      </c>
      <c r="DS66" s="1">
        <v>40557</v>
      </c>
      <c r="DT66" s="1">
        <v>36092</v>
      </c>
      <c r="DU66" s="1">
        <v>30779</v>
      </c>
      <c r="DV66" s="1">
        <v>25178</v>
      </c>
      <c r="DW66" s="2">
        <v>39711.75</v>
      </c>
      <c r="DX66" s="2">
        <v>18646.38</v>
      </c>
      <c r="DY66" s="2">
        <v>1193.06</v>
      </c>
      <c r="DZ66" s="2">
        <v>247.24</v>
      </c>
      <c r="EA66" s="2">
        <v>1374.62</v>
      </c>
      <c r="EB66" s="2">
        <v>1073.8599999999999</v>
      </c>
      <c r="EC66" s="2">
        <v>2138.69</v>
      </c>
      <c r="ED66" s="2">
        <v>5975.74</v>
      </c>
      <c r="EE66" s="2">
        <v>3441.86</v>
      </c>
      <c r="EF66" s="2">
        <v>1330.01</v>
      </c>
      <c r="EG66" s="2">
        <v>8606.39</v>
      </c>
      <c r="EH66" s="2">
        <v>1518.71</v>
      </c>
      <c r="EI66" s="2">
        <v>741.32</v>
      </c>
      <c r="EJ66" s="2">
        <v>531.19000000000005</v>
      </c>
      <c r="EK66" s="2">
        <v>85.17</v>
      </c>
      <c r="EL66" s="2">
        <v>292.7</v>
      </c>
      <c r="EM66" s="2">
        <v>7117.44</v>
      </c>
      <c r="EN66" s="2">
        <v>3148.46</v>
      </c>
      <c r="EO66" s="2">
        <v>895.29</v>
      </c>
      <c r="EP66" s="1">
        <v>15402</v>
      </c>
      <c r="EQ66" s="1">
        <v>2230</v>
      </c>
      <c r="ER66" s="1">
        <v>442</v>
      </c>
      <c r="ES66" s="1">
        <v>1984</v>
      </c>
      <c r="ET66" s="1">
        <v>11458</v>
      </c>
      <c r="EU66" s="1">
        <v>18578</v>
      </c>
      <c r="EV66" s="1">
        <v>42541</v>
      </c>
      <c r="EW66" s="1">
        <v>3605</v>
      </c>
      <c r="EX66" s="1">
        <v>9462</v>
      </c>
      <c r="EY66" s="1">
        <v>1821</v>
      </c>
      <c r="EZ66" s="1">
        <v>107306</v>
      </c>
      <c r="FA66" s="1">
        <v>14168</v>
      </c>
      <c r="FB66" s="1">
        <v>40140</v>
      </c>
      <c r="FC66" s="1">
        <v>15715</v>
      </c>
      <c r="FD66" s="1">
        <v>11335</v>
      </c>
      <c r="FE66" s="1">
        <v>40925</v>
      </c>
      <c r="FF66" s="1">
        <v>2309</v>
      </c>
      <c r="FG66" s="1">
        <v>178751</v>
      </c>
      <c r="FH66" s="1">
        <v>17053</v>
      </c>
      <c r="FI66" s="1">
        <v>11625</v>
      </c>
      <c r="FJ66" s="1">
        <v>265</v>
      </c>
      <c r="FK66" s="1">
        <v>1672</v>
      </c>
      <c r="FL66" s="1">
        <v>2506</v>
      </c>
      <c r="FM66" s="1">
        <v>722</v>
      </c>
      <c r="FN66" s="1">
        <v>47090</v>
      </c>
      <c r="FO66" s="1">
        <v>239376</v>
      </c>
      <c r="FP66" s="1">
        <v>184</v>
      </c>
      <c r="FQ66" s="1">
        <v>197</v>
      </c>
      <c r="FR66" s="1">
        <v>198</v>
      </c>
      <c r="FS66" s="1">
        <v>156</v>
      </c>
      <c r="FT66" s="1">
        <v>176</v>
      </c>
      <c r="FU66" s="1">
        <v>213</v>
      </c>
      <c r="FV66" s="1">
        <v>182</v>
      </c>
      <c r="FW66" s="1">
        <v>202</v>
      </c>
      <c r="FX66" s="1">
        <v>179</v>
      </c>
      <c r="FY66" s="1">
        <v>155</v>
      </c>
      <c r="FZ66" s="3">
        <v>-0.61299999999999999</v>
      </c>
      <c r="GA66" s="3">
        <v>-0.67</v>
      </c>
      <c r="GB66" s="3">
        <v>-0.52800000000000002</v>
      </c>
      <c r="GC66" s="3">
        <v>-0.34200000000000003</v>
      </c>
      <c r="GD66" s="3">
        <v>-0.76600000000000001</v>
      </c>
      <c r="GE66" s="3">
        <v>5.5E-2</v>
      </c>
      <c r="GF66" s="3">
        <v>-0.17799999999999999</v>
      </c>
      <c r="GG66" s="3">
        <v>-0.24099999999999999</v>
      </c>
      <c r="GH66" s="3">
        <v>-0.36699999999999999</v>
      </c>
      <c r="GI66" s="3">
        <v>-0.40500000000000003</v>
      </c>
      <c r="GJ66" s="3">
        <v>0.223</v>
      </c>
      <c r="GK66" s="3">
        <v>2.1999999999999999E-2</v>
      </c>
      <c r="GL66" s="3">
        <v>-5.8000000000000003E-2</v>
      </c>
      <c r="GM66" s="3">
        <v>-0.23499999999999999</v>
      </c>
      <c r="GN66" s="3">
        <v>-0.58699999999999997</v>
      </c>
      <c r="GO66" s="3">
        <v>0.24399999999999999</v>
      </c>
      <c r="GP66" s="3">
        <v>0.623</v>
      </c>
      <c r="GQ66" s="3">
        <v>0.13200000000000001</v>
      </c>
      <c r="GR66" s="3">
        <v>-0.154</v>
      </c>
      <c r="GS66" s="3">
        <v>-0.26600000000000001</v>
      </c>
      <c r="GT66" s="3">
        <v>-0.17599999999999999</v>
      </c>
      <c r="GU66" s="3">
        <v>2.9000000000000001E-2</v>
      </c>
      <c r="GV66" s="3">
        <v>-0.14399999999999999</v>
      </c>
      <c r="GW66" s="3">
        <v>-0.14799999999999999</v>
      </c>
      <c r="GX66" s="3">
        <v>-1.7000000000000001E-2</v>
      </c>
      <c r="GY66" s="3">
        <v>-3.2000000000000001E-2</v>
      </c>
      <c r="GZ66" s="4">
        <v>83</v>
      </c>
      <c r="HA66" s="4">
        <v>78</v>
      </c>
      <c r="HB66" s="4">
        <v>81</v>
      </c>
      <c r="HC66" s="4">
        <v>77</v>
      </c>
      <c r="HD66" s="4">
        <v>96</v>
      </c>
      <c r="HE66" s="4">
        <v>91</v>
      </c>
      <c r="HF66" s="1">
        <v>14136</v>
      </c>
      <c r="HG66" s="1">
        <v>9726</v>
      </c>
      <c r="HH66" s="1">
        <v>9486</v>
      </c>
      <c r="HI66" s="1">
        <v>10979</v>
      </c>
      <c r="HJ66" s="1">
        <v>11783</v>
      </c>
      <c r="HK66" s="1">
        <v>15832</v>
      </c>
      <c r="HL66" s="1">
        <v>12960</v>
      </c>
      <c r="HM66" s="1">
        <v>36706</v>
      </c>
      <c r="HN66" s="1">
        <v>42197</v>
      </c>
      <c r="HO66" s="1">
        <v>48382</v>
      </c>
      <c r="HP66" s="1">
        <v>51560</v>
      </c>
      <c r="HQ66" s="1">
        <v>52682</v>
      </c>
      <c r="HR66" s="1">
        <v>38866</v>
      </c>
      <c r="HS66" s="1">
        <v>58626</v>
      </c>
      <c r="HT66" s="1">
        <v>37047</v>
      </c>
      <c r="HU66" s="1">
        <v>33473</v>
      </c>
      <c r="HV66" s="1">
        <v>18634</v>
      </c>
      <c r="HW66" s="1">
        <v>25303</v>
      </c>
      <c r="HX66" s="1">
        <v>15066</v>
      </c>
      <c r="HY66" s="1">
        <v>14920</v>
      </c>
      <c r="HZ66" s="1">
        <v>6290</v>
      </c>
      <c r="IA66" s="1">
        <v>6002</v>
      </c>
      <c r="IB66" s="1">
        <v>2123</v>
      </c>
      <c r="IC66" s="1">
        <v>2483</v>
      </c>
      <c r="ID66" s="1">
        <v>84533</v>
      </c>
      <c r="IE66" s="1">
        <v>20616</v>
      </c>
      <c r="IF66" s="1">
        <v>19000</v>
      </c>
      <c r="IG66" s="1">
        <v>23729</v>
      </c>
      <c r="IH66" s="1">
        <v>27429</v>
      </c>
      <c r="II66" s="1">
        <v>33883</v>
      </c>
      <c r="IJ66" s="1">
        <v>54692</v>
      </c>
      <c r="IK66" s="1">
        <v>75755</v>
      </c>
      <c r="IL66" s="1">
        <v>93838</v>
      </c>
      <c r="IM66" s="1">
        <v>90150</v>
      </c>
      <c r="IN66" s="1">
        <v>79040</v>
      </c>
      <c r="IO66" s="1">
        <v>63750</v>
      </c>
      <c r="IP66" s="1">
        <v>52559</v>
      </c>
      <c r="IQ66" s="1">
        <v>40317</v>
      </c>
      <c r="IR66" s="1">
        <v>28790</v>
      </c>
      <c r="IS66" s="1">
        <v>21976</v>
      </c>
      <c r="IT66" s="1">
        <v>28974</v>
      </c>
      <c r="IU66" s="1">
        <v>16134</v>
      </c>
      <c r="IV66" s="1">
        <v>20658</v>
      </c>
      <c r="IW66">
        <v>6223</v>
      </c>
      <c r="IX66">
        <v>6129</v>
      </c>
      <c r="IY66">
        <v>3699</v>
      </c>
      <c r="IZ66">
        <v>40087</v>
      </c>
      <c r="JA66">
        <v>463</v>
      </c>
      <c r="JB66">
        <v>446492</v>
      </c>
      <c r="JC66">
        <v>22175</v>
      </c>
      <c r="JD66">
        <v>17914</v>
      </c>
      <c r="JE66">
        <v>4119</v>
      </c>
      <c r="JF66">
        <v>2765</v>
      </c>
      <c r="JG66">
        <v>1334</v>
      </c>
      <c r="JH66">
        <v>1184</v>
      </c>
      <c r="JI66">
        <v>906</v>
      </c>
      <c r="JJ66">
        <v>24627</v>
      </c>
      <c r="JK66">
        <v>671</v>
      </c>
      <c r="JL66">
        <v>242815</v>
      </c>
      <c r="JM66">
        <v>44078</v>
      </c>
      <c r="JN66">
        <v>122160</v>
      </c>
      <c r="JO66">
        <v>121873</v>
      </c>
      <c r="JP66">
        <v>108509</v>
      </c>
      <c r="JQ66">
        <v>76209</v>
      </c>
      <c r="JR66">
        <v>53203</v>
      </c>
      <c r="JS66">
        <v>45093</v>
      </c>
      <c r="JT66">
        <v>24164</v>
      </c>
      <c r="JU66">
        <v>361</v>
      </c>
      <c r="JV66">
        <v>50134</v>
      </c>
      <c r="JW66">
        <v>55397</v>
      </c>
      <c r="JX66">
        <v>113903</v>
      </c>
      <c r="JY66">
        <v>134428</v>
      </c>
      <c r="JZ66">
        <v>196335</v>
      </c>
      <c r="KA66">
        <v>160664</v>
      </c>
      <c r="KB66">
        <v>181566</v>
      </c>
      <c r="KC66">
        <v>120494</v>
      </c>
      <c r="KD66">
        <v>347731</v>
      </c>
      <c r="KE66">
        <v>11387</v>
      </c>
      <c r="KF66">
        <v>5032</v>
      </c>
      <c r="KG66">
        <v>86162</v>
      </c>
      <c r="KH66">
        <v>186699</v>
      </c>
      <c r="KI66">
        <v>31546</v>
      </c>
      <c r="KJ66">
        <v>175366</v>
      </c>
      <c r="KK66">
        <v>48330</v>
      </c>
      <c r="KL66">
        <v>7851</v>
      </c>
      <c r="KM66">
        <v>21004</v>
      </c>
      <c r="KN66">
        <v>33717</v>
      </c>
      <c r="KO66">
        <v>17199</v>
      </c>
      <c r="KP66">
        <v>34439</v>
      </c>
      <c r="KQ66">
        <v>713</v>
      </c>
      <c r="KR66">
        <v>66330</v>
      </c>
      <c r="KS66">
        <v>81765</v>
      </c>
      <c r="KT66">
        <v>177939</v>
      </c>
      <c r="KU66">
        <v>21100</v>
      </c>
      <c r="KV66">
        <v>154226</v>
      </c>
      <c r="KW66">
        <v>66571</v>
      </c>
      <c r="KX66">
        <v>47761</v>
      </c>
      <c r="KY66">
        <v>946749</v>
      </c>
      <c r="KZ66">
        <v>19442</v>
      </c>
      <c r="LA66">
        <v>98813</v>
      </c>
      <c r="LB66">
        <v>71462</v>
      </c>
      <c r="LC66">
        <v>50863</v>
      </c>
      <c r="LD66">
        <v>24486</v>
      </c>
      <c r="LE66">
        <v>62062</v>
      </c>
      <c r="LF66">
        <v>1260</v>
      </c>
      <c r="LG66">
        <v>1195154</v>
      </c>
      <c r="LH66">
        <v>34381</v>
      </c>
      <c r="LI66">
        <v>74002</v>
      </c>
      <c r="LJ66">
        <v>6129</v>
      </c>
      <c r="LK66">
        <v>23715</v>
      </c>
      <c r="LL66">
        <v>6490</v>
      </c>
      <c r="LM66">
        <v>9807</v>
      </c>
      <c r="LN66">
        <v>3274</v>
      </c>
      <c r="LO66">
        <v>7700</v>
      </c>
      <c r="LP66">
        <v>2262.7509799999998</v>
      </c>
      <c r="LQ66">
        <v>1575.77349</v>
      </c>
    </row>
    <row r="67" spans="1:329" x14ac:dyDescent="0.25">
      <c r="A67" s="5" t="s">
        <v>389</v>
      </c>
      <c r="B67" s="5" t="s">
        <v>322</v>
      </c>
      <c r="C67" s="1">
        <v>3656820</v>
      </c>
      <c r="D67" s="1">
        <v>3267150</v>
      </c>
      <c r="E67" s="1">
        <v>2570022</v>
      </c>
      <c r="F67" s="1">
        <v>2612046</v>
      </c>
      <c r="G67" s="1">
        <v>2843489</v>
      </c>
      <c r="H67" s="1">
        <v>1323489</v>
      </c>
      <c r="I67" s="1">
        <v>1189442</v>
      </c>
      <c r="J67" s="1">
        <v>966522</v>
      </c>
      <c r="K67" s="1">
        <v>1040163</v>
      </c>
      <c r="L67" s="1">
        <v>1146917</v>
      </c>
      <c r="M67" s="1">
        <v>1263038</v>
      </c>
      <c r="N67" s="1">
        <v>461088</v>
      </c>
      <c r="O67" s="1">
        <v>579075</v>
      </c>
      <c r="P67" s="1">
        <v>222875</v>
      </c>
      <c r="Q67" s="1">
        <v>317010</v>
      </c>
      <c r="R67" s="1">
        <v>2773</v>
      </c>
      <c r="S67" s="1">
        <v>92</v>
      </c>
      <c r="T67" s="1">
        <v>2066764</v>
      </c>
      <c r="U67" s="1">
        <v>501778</v>
      </c>
      <c r="V67" s="1">
        <v>43504</v>
      </c>
      <c r="W67" s="1">
        <v>2466</v>
      </c>
      <c r="X67" s="1">
        <v>61</v>
      </c>
      <c r="Y67" s="2">
        <v>33.700000000000003</v>
      </c>
      <c r="Z67" s="1">
        <v>194065</v>
      </c>
      <c r="AA67" s="1">
        <v>191009</v>
      </c>
      <c r="AB67" s="1">
        <v>187957</v>
      </c>
      <c r="AC67" s="1">
        <v>183335</v>
      </c>
      <c r="AD67" s="1">
        <v>182665</v>
      </c>
      <c r="AE67" s="1">
        <v>205362</v>
      </c>
      <c r="AF67" s="1">
        <v>172122</v>
      </c>
      <c r="AG67" s="1">
        <v>154406</v>
      </c>
      <c r="AH67" s="1">
        <v>141449</v>
      </c>
      <c r="AI67" s="1">
        <v>153281</v>
      </c>
      <c r="AJ67" s="1">
        <v>159421</v>
      </c>
      <c r="AK67" s="1">
        <v>167251</v>
      </c>
      <c r="AL67" s="1">
        <v>152279</v>
      </c>
      <c r="AM67" s="1">
        <v>123952</v>
      </c>
      <c r="AN67" s="1">
        <v>91984</v>
      </c>
      <c r="AO67" s="1">
        <v>62899</v>
      </c>
      <c r="AP67" s="1">
        <v>43539</v>
      </c>
      <c r="AQ67" s="1">
        <v>45071</v>
      </c>
      <c r="AR67" s="1">
        <v>1225101</v>
      </c>
      <c r="AS67" s="1">
        <v>1386945</v>
      </c>
      <c r="AT67" s="1">
        <v>369983</v>
      </c>
      <c r="AU67" s="1">
        <v>1979614</v>
      </c>
      <c r="AV67" s="1">
        <v>7777</v>
      </c>
      <c r="AW67" s="1">
        <v>27350</v>
      </c>
      <c r="AX67" s="1">
        <v>757</v>
      </c>
      <c r="AY67" s="1">
        <v>5082</v>
      </c>
      <c r="AZ67" s="1">
        <v>63850</v>
      </c>
      <c r="BA67" s="1">
        <v>157819</v>
      </c>
      <c r="BB67" s="1">
        <v>2039016</v>
      </c>
      <c r="BC67" s="1">
        <v>1077976</v>
      </c>
      <c r="BD67" s="1">
        <v>404105</v>
      </c>
      <c r="BE67" s="1">
        <v>138417</v>
      </c>
      <c r="BF67" s="1">
        <v>144146</v>
      </c>
      <c r="BG67" s="1">
        <v>274372</v>
      </c>
      <c r="BH67" s="1">
        <v>1673015</v>
      </c>
      <c r="BI67" s="1">
        <v>90442</v>
      </c>
      <c r="BJ67" s="1">
        <v>242270</v>
      </c>
      <c r="BK67" s="1">
        <v>594582</v>
      </c>
      <c r="BL67" s="1">
        <v>399920</v>
      </c>
      <c r="BM67" s="1">
        <v>126066</v>
      </c>
      <c r="BN67" s="1">
        <v>144508</v>
      </c>
      <c r="BO67" s="1">
        <v>75227</v>
      </c>
      <c r="BP67" s="1">
        <v>2006825</v>
      </c>
      <c r="BQ67" s="1">
        <v>1258</v>
      </c>
      <c r="BR67" s="1">
        <v>1019363</v>
      </c>
      <c r="BS67" s="1">
        <v>93618</v>
      </c>
      <c r="BT67" s="1">
        <v>892586</v>
      </c>
      <c r="BU67" s="1">
        <v>619695</v>
      </c>
      <c r="BV67" s="1">
        <v>420468</v>
      </c>
      <c r="BW67" s="1">
        <v>86862</v>
      </c>
      <c r="BX67" s="1">
        <v>36067</v>
      </c>
      <c r="BY67" s="1">
        <v>231005</v>
      </c>
      <c r="BZ67" s="1">
        <v>122838</v>
      </c>
      <c r="CA67" s="1">
        <v>35770</v>
      </c>
      <c r="CB67" s="1">
        <v>106548</v>
      </c>
      <c r="CC67" s="2">
        <v>2.4700000000000002</v>
      </c>
      <c r="CD67" s="1">
        <v>359366</v>
      </c>
      <c r="CE67" s="1">
        <v>283967</v>
      </c>
      <c r="CF67" s="1">
        <v>161563</v>
      </c>
      <c r="CG67" s="1">
        <v>109628</v>
      </c>
      <c r="CH67" s="1">
        <v>64924</v>
      </c>
      <c r="CI67" s="1">
        <v>31394</v>
      </c>
      <c r="CJ67" s="1">
        <v>29321</v>
      </c>
      <c r="CK67" s="2">
        <v>50.54</v>
      </c>
      <c r="CL67" s="1">
        <v>55474</v>
      </c>
      <c r="CM67" s="1">
        <v>180646</v>
      </c>
      <c r="CN67" s="1">
        <v>165204</v>
      </c>
      <c r="CO67" s="1">
        <v>181522</v>
      </c>
      <c r="CP67" s="1">
        <v>202123</v>
      </c>
      <c r="CQ67" s="1">
        <v>148232</v>
      </c>
      <c r="CR67" s="1">
        <v>76000</v>
      </c>
      <c r="CS67" s="1">
        <v>30961</v>
      </c>
      <c r="CT67" s="1">
        <v>236664</v>
      </c>
      <c r="CU67" s="1">
        <v>466470</v>
      </c>
      <c r="CV67" s="1">
        <v>337030</v>
      </c>
      <c r="CW67" s="1">
        <v>15210</v>
      </c>
      <c r="CX67" s="1">
        <v>29513</v>
      </c>
      <c r="CY67" s="1">
        <v>37017</v>
      </c>
      <c r="CZ67" s="1">
        <v>176047</v>
      </c>
      <c r="DA67" s="1">
        <v>98512</v>
      </c>
      <c r="DB67" s="1">
        <v>91586</v>
      </c>
      <c r="DC67" s="1">
        <v>88726</v>
      </c>
      <c r="DD67" s="1">
        <v>72238</v>
      </c>
      <c r="DE67" s="1">
        <v>61693</v>
      </c>
      <c r="DF67" s="1">
        <v>57097</v>
      </c>
      <c r="DG67" s="1">
        <v>53008</v>
      </c>
      <c r="DH67" s="1">
        <v>43445</v>
      </c>
      <c r="DI67" s="1">
        <v>73710</v>
      </c>
      <c r="DJ67" s="1">
        <v>76634</v>
      </c>
      <c r="DK67" s="1">
        <v>75422</v>
      </c>
      <c r="DL67" s="1">
        <v>31010</v>
      </c>
      <c r="DM67" s="1">
        <v>18564</v>
      </c>
      <c r="DN67" s="1">
        <v>14301</v>
      </c>
      <c r="DO67" s="1">
        <v>8168</v>
      </c>
      <c r="DP67" s="1">
        <v>19016</v>
      </c>
      <c r="DQ67" s="1">
        <v>33399</v>
      </c>
      <c r="DR67" s="1">
        <v>35582</v>
      </c>
      <c r="DS67" s="1">
        <v>33970</v>
      </c>
      <c r="DT67" s="1">
        <v>30539</v>
      </c>
      <c r="DU67" s="1">
        <v>25621</v>
      </c>
      <c r="DV67" s="1">
        <v>22861</v>
      </c>
      <c r="DW67" s="2">
        <v>36428.79</v>
      </c>
      <c r="DX67" s="2">
        <v>17078.939999999999</v>
      </c>
      <c r="DY67" s="2">
        <v>1085.28</v>
      </c>
      <c r="DZ67" s="2">
        <v>226.36</v>
      </c>
      <c r="EA67" s="2">
        <v>1265.43</v>
      </c>
      <c r="EB67" s="2">
        <v>1007.33</v>
      </c>
      <c r="EC67" s="2">
        <v>1957.44</v>
      </c>
      <c r="ED67" s="2">
        <v>5502.26</v>
      </c>
      <c r="EE67" s="2">
        <v>3160.1</v>
      </c>
      <c r="EF67" s="2">
        <v>1216.57</v>
      </c>
      <c r="EG67" s="2">
        <v>7897.26</v>
      </c>
      <c r="EH67" s="2">
        <v>1395.01</v>
      </c>
      <c r="EI67" s="2">
        <v>680.33</v>
      </c>
      <c r="EJ67" s="2">
        <v>487.66</v>
      </c>
      <c r="EK67" s="2">
        <v>77.88</v>
      </c>
      <c r="EL67" s="2">
        <v>271.99</v>
      </c>
      <c r="EM67" s="2">
        <v>6477.62</v>
      </c>
      <c r="EN67" s="2">
        <v>2910.52</v>
      </c>
      <c r="EO67" s="2">
        <v>809.75</v>
      </c>
      <c r="EP67" s="1">
        <v>13480</v>
      </c>
      <c r="EQ67" s="1">
        <v>2098</v>
      </c>
      <c r="ER67" s="1">
        <v>383</v>
      </c>
      <c r="ES67" s="1">
        <v>1667</v>
      </c>
      <c r="ET67" s="1">
        <v>9020</v>
      </c>
      <c r="EU67" s="1">
        <v>14975</v>
      </c>
      <c r="EV67" s="1">
        <v>36530</v>
      </c>
      <c r="EW67" s="1">
        <v>3582</v>
      </c>
      <c r="EX67" s="1">
        <v>7986</v>
      </c>
      <c r="EY67" s="1">
        <v>1640</v>
      </c>
      <c r="EZ67" s="1">
        <v>90741</v>
      </c>
      <c r="FA67" s="1">
        <v>12952</v>
      </c>
      <c r="FB67" s="1">
        <v>33272</v>
      </c>
      <c r="FC67" s="1">
        <v>12618</v>
      </c>
      <c r="FD67" s="1">
        <v>10757</v>
      </c>
      <c r="FE67" s="1">
        <v>37090</v>
      </c>
      <c r="FF67" s="1">
        <v>1967</v>
      </c>
      <c r="FG67" s="1">
        <v>155521</v>
      </c>
      <c r="FH67" s="1">
        <v>12997</v>
      </c>
      <c r="FI67" s="1">
        <v>10854</v>
      </c>
      <c r="FJ67" s="1">
        <v>212</v>
      </c>
      <c r="FK67" s="1">
        <v>1496</v>
      </c>
      <c r="FL67" s="1">
        <v>1881</v>
      </c>
      <c r="FM67" s="1">
        <v>677</v>
      </c>
      <c r="FN67" s="1">
        <v>39319</v>
      </c>
      <c r="FO67" s="1">
        <v>207218</v>
      </c>
      <c r="FP67" s="1">
        <v>247</v>
      </c>
      <c r="FQ67" s="1">
        <v>469</v>
      </c>
      <c r="FR67" s="1">
        <v>809</v>
      </c>
      <c r="FS67" s="1">
        <v>247</v>
      </c>
      <c r="FT67" s="1">
        <v>530</v>
      </c>
      <c r="FU67" s="1">
        <v>471</v>
      </c>
      <c r="FV67" s="1">
        <v>214</v>
      </c>
      <c r="FW67" s="1">
        <v>330</v>
      </c>
      <c r="FX67" s="1">
        <v>168</v>
      </c>
      <c r="FY67" s="1">
        <v>315</v>
      </c>
      <c r="FZ67" s="3">
        <v>-0.54400000000000004</v>
      </c>
      <c r="GA67" s="3">
        <v>-0.41399999999999998</v>
      </c>
      <c r="GB67" s="3">
        <v>-0.38800000000000001</v>
      </c>
      <c r="GC67" s="3">
        <v>-0.70799999999999996</v>
      </c>
      <c r="GD67" s="3">
        <v>-0.83199999999999996</v>
      </c>
      <c r="GE67" s="3">
        <v>-2.5529999999999999</v>
      </c>
      <c r="GF67" s="3">
        <v>-0.48</v>
      </c>
      <c r="GG67" s="3">
        <v>-0.29899999999999999</v>
      </c>
      <c r="GH67" s="3">
        <v>-0.77900000000000003</v>
      </c>
      <c r="GI67" s="3">
        <v>-0.33</v>
      </c>
      <c r="GJ67" s="3">
        <v>0.32</v>
      </c>
      <c r="GK67" s="3">
        <v>0.56399999999999995</v>
      </c>
      <c r="GL67" s="3">
        <v>6.0000000000000001E-3</v>
      </c>
      <c r="GM67" s="3">
        <v>-0.317</v>
      </c>
      <c r="GN67" s="3">
        <v>-0.33600000000000002</v>
      </c>
      <c r="GO67" s="3">
        <v>-0.183</v>
      </c>
      <c r="GP67" s="3">
        <v>0.442</v>
      </c>
      <c r="GQ67" s="3">
        <v>-9.2999999999999999E-2</v>
      </c>
      <c r="GR67" s="3">
        <v>0.48899999999999999</v>
      </c>
      <c r="GS67" s="3">
        <v>-0.17199999999999999</v>
      </c>
      <c r="GT67" s="3">
        <v>-9.9000000000000005E-2</v>
      </c>
      <c r="GU67" s="3">
        <v>-0.04</v>
      </c>
      <c r="GV67" s="3">
        <v>-7.0000000000000007E-2</v>
      </c>
      <c r="GW67" s="3">
        <v>1.2999999999999999E-2</v>
      </c>
      <c r="GX67" s="3">
        <v>2.3E-2</v>
      </c>
      <c r="GY67" s="3">
        <v>-6.3E-2</v>
      </c>
      <c r="GZ67" s="4">
        <v>81</v>
      </c>
      <c r="HA67" s="4">
        <v>78</v>
      </c>
      <c r="HB67" s="4">
        <v>95</v>
      </c>
      <c r="HC67" s="4">
        <v>36</v>
      </c>
      <c r="HD67" s="4">
        <v>129</v>
      </c>
      <c r="HE67" s="4">
        <v>81</v>
      </c>
      <c r="HF67" s="1">
        <v>8173</v>
      </c>
      <c r="HG67" s="1">
        <v>9086</v>
      </c>
      <c r="HH67" s="1">
        <v>9657</v>
      </c>
      <c r="HI67" s="1">
        <v>13989</v>
      </c>
      <c r="HJ67" s="1">
        <v>13631</v>
      </c>
      <c r="HK67" s="1">
        <v>18271</v>
      </c>
      <c r="HL67" s="1">
        <v>13323</v>
      </c>
      <c r="HM67" s="1">
        <v>37024</v>
      </c>
      <c r="HN67" s="1">
        <v>40669</v>
      </c>
      <c r="HO67" s="1">
        <v>43202</v>
      </c>
      <c r="HP67" s="1">
        <v>41267</v>
      </c>
      <c r="HQ67" s="1">
        <v>38840</v>
      </c>
      <c r="HR67" s="1">
        <v>26548</v>
      </c>
      <c r="HS67" s="1">
        <v>38082</v>
      </c>
      <c r="HT67" s="1">
        <v>19525</v>
      </c>
      <c r="HU67" s="1">
        <v>19110</v>
      </c>
      <c r="HV67" s="1">
        <v>9869</v>
      </c>
      <c r="HW67" s="1">
        <v>13279</v>
      </c>
      <c r="HX67" s="1">
        <v>8209</v>
      </c>
      <c r="HY67" s="1">
        <v>7975</v>
      </c>
      <c r="HZ67" s="1">
        <v>3479</v>
      </c>
      <c r="IA67" s="1">
        <v>3305</v>
      </c>
      <c r="IB67" s="1">
        <v>1391</v>
      </c>
      <c r="IC67" s="1">
        <v>1601</v>
      </c>
      <c r="ID67" s="1">
        <v>73083</v>
      </c>
      <c r="IE67" s="1">
        <v>14261</v>
      </c>
      <c r="IF67" s="1">
        <v>10494</v>
      </c>
      <c r="IG67" s="1">
        <v>13277</v>
      </c>
      <c r="IH67" s="1">
        <v>14623</v>
      </c>
      <c r="II67" s="1">
        <v>17046</v>
      </c>
      <c r="IJ67" s="1">
        <v>28140</v>
      </c>
      <c r="IK67" s="1">
        <v>35877</v>
      </c>
      <c r="IL67" s="1">
        <v>49227</v>
      </c>
      <c r="IM67" s="1">
        <v>52071</v>
      </c>
      <c r="IN67" s="1">
        <v>54780</v>
      </c>
      <c r="IO67" s="1">
        <v>40737</v>
      </c>
      <c r="IP67" s="1">
        <v>38406</v>
      </c>
      <c r="IQ67" s="1">
        <v>31002</v>
      </c>
      <c r="IR67" s="1">
        <v>22958</v>
      </c>
      <c r="IS67" s="1">
        <v>17625</v>
      </c>
      <c r="IT67" s="1">
        <v>24472</v>
      </c>
      <c r="IU67" s="1">
        <v>11731</v>
      </c>
      <c r="IV67" s="1">
        <v>12001</v>
      </c>
      <c r="IW67">
        <v>3230</v>
      </c>
      <c r="IX67">
        <v>2609</v>
      </c>
      <c r="IY67">
        <v>1489</v>
      </c>
      <c r="IZ67">
        <v>28254</v>
      </c>
      <c r="JA67">
        <v>516</v>
      </c>
      <c r="JB67">
        <v>408204</v>
      </c>
      <c r="JC67">
        <v>16048</v>
      </c>
      <c r="JD67">
        <v>17921</v>
      </c>
      <c r="JE67">
        <v>2545</v>
      </c>
      <c r="JF67">
        <v>669</v>
      </c>
      <c r="JG67">
        <v>612</v>
      </c>
      <c r="JH67">
        <v>732</v>
      </c>
      <c r="JI67">
        <v>526</v>
      </c>
      <c r="JJ67">
        <v>6064</v>
      </c>
      <c r="JK67">
        <v>236</v>
      </c>
      <c r="JL67">
        <v>249715</v>
      </c>
      <c r="JM67">
        <v>34477</v>
      </c>
      <c r="JN67">
        <v>73025</v>
      </c>
      <c r="JO67">
        <v>46295</v>
      </c>
      <c r="JP67">
        <v>34988</v>
      </c>
      <c r="JQ67">
        <v>27114</v>
      </c>
      <c r="JR67">
        <v>18590</v>
      </c>
      <c r="JS67">
        <v>19483</v>
      </c>
      <c r="JT67">
        <v>5881</v>
      </c>
      <c r="JU67">
        <v>162</v>
      </c>
      <c r="JV67">
        <v>27912</v>
      </c>
      <c r="JW67">
        <v>32876</v>
      </c>
      <c r="JX67">
        <v>57683</v>
      </c>
      <c r="JY67">
        <v>58024</v>
      </c>
      <c r="JZ67">
        <v>88767</v>
      </c>
      <c r="KA67">
        <v>99116</v>
      </c>
      <c r="KB67">
        <v>174747</v>
      </c>
      <c r="KC67">
        <v>132287</v>
      </c>
      <c r="KD67">
        <v>291875</v>
      </c>
      <c r="KE67">
        <v>3691</v>
      </c>
      <c r="KF67">
        <v>1748</v>
      </c>
      <c r="KG67">
        <v>33426</v>
      </c>
      <c r="KH67">
        <v>92019</v>
      </c>
      <c r="KI67">
        <v>15629</v>
      </c>
      <c r="KJ67">
        <v>88242</v>
      </c>
      <c r="KK67">
        <v>41314</v>
      </c>
      <c r="KL67">
        <v>7221</v>
      </c>
      <c r="KM67">
        <v>12862</v>
      </c>
      <c r="KN67">
        <v>28314</v>
      </c>
      <c r="KO67">
        <v>11775</v>
      </c>
      <c r="KP67">
        <v>19159</v>
      </c>
      <c r="KQ67">
        <v>752</v>
      </c>
      <c r="KR67">
        <v>54091</v>
      </c>
      <c r="KS67">
        <v>56721</v>
      </c>
      <c r="KT67">
        <v>177155</v>
      </c>
      <c r="KU67">
        <v>15861</v>
      </c>
      <c r="KV67">
        <v>82080</v>
      </c>
      <c r="KW67">
        <v>43344</v>
      </c>
      <c r="KX67">
        <v>35319</v>
      </c>
      <c r="KY67">
        <v>576983</v>
      </c>
      <c r="KZ67">
        <v>10304</v>
      </c>
      <c r="LA67">
        <v>87750</v>
      </c>
      <c r="LB67">
        <v>60198</v>
      </c>
      <c r="LC67">
        <v>29930</v>
      </c>
      <c r="LD67">
        <v>20104</v>
      </c>
      <c r="LE67">
        <v>34428</v>
      </c>
      <c r="LF67">
        <v>1026</v>
      </c>
      <c r="LG67">
        <v>895293</v>
      </c>
      <c r="LH67">
        <v>9905</v>
      </c>
      <c r="LI67">
        <v>31104</v>
      </c>
      <c r="LJ67">
        <v>2343</v>
      </c>
      <c r="LK67">
        <v>11264</v>
      </c>
      <c r="LL67">
        <v>1932</v>
      </c>
      <c r="LM67">
        <v>3789</v>
      </c>
      <c r="LN67">
        <v>1981</v>
      </c>
      <c r="LO67">
        <v>5676</v>
      </c>
      <c r="LP67">
        <v>812.52630999999997</v>
      </c>
      <c r="LQ67">
        <v>3572.4308000000001</v>
      </c>
    </row>
    <row r="68" spans="1:329" x14ac:dyDescent="0.25">
      <c r="A68" s="5" t="s">
        <v>390</v>
      </c>
      <c r="B68" s="5" t="s">
        <v>323</v>
      </c>
      <c r="C68" s="1">
        <v>2188127</v>
      </c>
      <c r="D68" s="1">
        <v>2411090</v>
      </c>
      <c r="E68" s="1">
        <v>2697053</v>
      </c>
      <c r="F68" s="1">
        <v>2936460</v>
      </c>
      <c r="G68" s="1">
        <v>3068424</v>
      </c>
      <c r="H68" s="1">
        <v>924868</v>
      </c>
      <c r="I68" s="1">
        <v>1040031</v>
      </c>
      <c r="J68" s="1">
        <v>1176463</v>
      </c>
      <c r="K68" s="1">
        <v>1330129</v>
      </c>
      <c r="L68" s="1">
        <v>1392003</v>
      </c>
      <c r="M68" s="1">
        <v>1388211</v>
      </c>
      <c r="N68" s="1">
        <v>256008</v>
      </c>
      <c r="O68" s="1">
        <v>1074121</v>
      </c>
      <c r="P68" s="1">
        <v>58082</v>
      </c>
      <c r="Q68" s="1">
        <v>116735</v>
      </c>
      <c r="R68" s="1">
        <v>13483</v>
      </c>
      <c r="S68" s="1">
        <v>118</v>
      </c>
      <c r="T68" s="1">
        <v>1034160</v>
      </c>
      <c r="U68" s="1">
        <v>1741918</v>
      </c>
      <c r="V68" s="1">
        <v>160382</v>
      </c>
      <c r="W68" s="1">
        <v>115317</v>
      </c>
      <c r="X68" s="1">
        <v>39</v>
      </c>
      <c r="Y68" s="2">
        <v>24.6</v>
      </c>
      <c r="Z68" s="1">
        <v>117667</v>
      </c>
      <c r="AA68" s="1">
        <v>93094</v>
      </c>
      <c r="AB68" s="1">
        <v>85173</v>
      </c>
      <c r="AC68" s="1">
        <v>243723</v>
      </c>
      <c r="AD68" s="1">
        <v>881335</v>
      </c>
      <c r="AE68" s="1">
        <v>394962</v>
      </c>
      <c r="AF68" s="1">
        <v>207756</v>
      </c>
      <c r="AG68" s="1">
        <v>142069</v>
      </c>
      <c r="AH68" s="1">
        <v>107597</v>
      </c>
      <c r="AI68" s="1">
        <v>102013</v>
      </c>
      <c r="AJ68" s="1">
        <v>98515</v>
      </c>
      <c r="AK68" s="1">
        <v>105683</v>
      </c>
      <c r="AL68" s="1">
        <v>99245</v>
      </c>
      <c r="AM68" s="1">
        <v>81201</v>
      </c>
      <c r="AN68" s="1">
        <v>62153</v>
      </c>
      <c r="AO68" s="1">
        <v>43590</v>
      </c>
      <c r="AP68" s="1">
        <v>31475</v>
      </c>
      <c r="AQ68" s="1">
        <v>39209</v>
      </c>
      <c r="AR68" s="1">
        <v>1508788</v>
      </c>
      <c r="AS68" s="1">
        <v>1427672</v>
      </c>
      <c r="AT68" s="1">
        <v>1911034</v>
      </c>
      <c r="AU68" s="1">
        <v>310347</v>
      </c>
      <c r="AV68" s="1">
        <v>13534</v>
      </c>
      <c r="AW68" s="1">
        <v>317215</v>
      </c>
      <c r="AX68" s="1">
        <v>3094</v>
      </c>
      <c r="AY68" s="1">
        <v>4121</v>
      </c>
      <c r="AZ68" s="1">
        <v>78567</v>
      </c>
      <c r="BA68" s="1">
        <v>298742</v>
      </c>
      <c r="BB68" s="1">
        <v>2640524</v>
      </c>
      <c r="BC68" s="1">
        <v>1865064</v>
      </c>
      <c r="BD68" s="1">
        <v>464045</v>
      </c>
      <c r="BE68" s="1">
        <v>82557</v>
      </c>
      <c r="BF68" s="1">
        <v>62646</v>
      </c>
      <c r="BG68" s="1">
        <v>166212</v>
      </c>
      <c r="BH68" s="1">
        <v>1515467</v>
      </c>
      <c r="BI68" s="1">
        <v>43146</v>
      </c>
      <c r="BJ68" s="1">
        <v>69589</v>
      </c>
      <c r="BK68" s="1">
        <v>262778</v>
      </c>
      <c r="BL68" s="1">
        <v>279318</v>
      </c>
      <c r="BM68" s="1">
        <v>106111</v>
      </c>
      <c r="BN68" s="1">
        <v>421599</v>
      </c>
      <c r="BO68" s="1">
        <v>332926</v>
      </c>
      <c r="BP68" s="1">
        <v>2631654</v>
      </c>
      <c r="BQ68" s="1">
        <v>4350</v>
      </c>
      <c r="BR68" s="1">
        <v>1612227</v>
      </c>
      <c r="BS68" s="1">
        <v>58423</v>
      </c>
      <c r="BT68" s="1">
        <v>956654</v>
      </c>
      <c r="BU68" s="1">
        <v>358971</v>
      </c>
      <c r="BV68" s="1">
        <v>971158</v>
      </c>
      <c r="BW68" s="1">
        <v>82076</v>
      </c>
      <c r="BX68" s="1">
        <v>16797</v>
      </c>
      <c r="BY68" s="1">
        <v>52765</v>
      </c>
      <c r="BZ68" s="1">
        <v>138299</v>
      </c>
      <c r="CA68" s="1">
        <v>24723</v>
      </c>
      <c r="CB68" s="1">
        <v>38093</v>
      </c>
      <c r="CC68" s="2">
        <v>2.09</v>
      </c>
      <c r="CD68" s="1">
        <v>537240</v>
      </c>
      <c r="CE68" s="1">
        <v>421875</v>
      </c>
      <c r="CF68" s="1">
        <v>183412</v>
      </c>
      <c r="CG68" s="1">
        <v>127601</v>
      </c>
      <c r="CH68" s="1">
        <v>35990</v>
      </c>
      <c r="CI68" s="1">
        <v>14910</v>
      </c>
      <c r="CJ68" s="1">
        <v>9100</v>
      </c>
      <c r="CK68" s="2">
        <v>33.93</v>
      </c>
      <c r="CL68" s="1">
        <v>334244</v>
      </c>
      <c r="CM68" s="1">
        <v>333202</v>
      </c>
      <c r="CN68" s="1">
        <v>164539</v>
      </c>
      <c r="CO68" s="1">
        <v>140736</v>
      </c>
      <c r="CP68" s="1">
        <v>152714</v>
      </c>
      <c r="CQ68" s="1">
        <v>113054</v>
      </c>
      <c r="CR68" s="1">
        <v>60945</v>
      </c>
      <c r="CS68" s="1">
        <v>30694</v>
      </c>
      <c r="CT68" s="1">
        <v>195143</v>
      </c>
      <c r="CU68" s="1">
        <v>560834</v>
      </c>
      <c r="CV68" s="1">
        <v>574152</v>
      </c>
      <c r="CW68" s="1">
        <v>21928</v>
      </c>
      <c r="CX68" s="1">
        <v>35565</v>
      </c>
      <c r="CY68" s="1">
        <v>64309</v>
      </c>
      <c r="CZ68" s="1">
        <v>241815</v>
      </c>
      <c r="DA68" s="1">
        <v>100755</v>
      </c>
      <c r="DB68" s="1">
        <v>89730</v>
      </c>
      <c r="DC68" s="1">
        <v>90600</v>
      </c>
      <c r="DD68" s="1">
        <v>71520</v>
      </c>
      <c r="DE68" s="1">
        <v>63865</v>
      </c>
      <c r="DF68" s="1">
        <v>59858</v>
      </c>
      <c r="DG68" s="1">
        <v>59632</v>
      </c>
      <c r="DH68" s="1">
        <v>51744</v>
      </c>
      <c r="DI68" s="1">
        <v>90998</v>
      </c>
      <c r="DJ68" s="1">
        <v>103542</v>
      </c>
      <c r="DK68" s="1">
        <v>116474</v>
      </c>
      <c r="DL68" s="1">
        <v>60201</v>
      </c>
      <c r="DM68" s="1">
        <v>44899</v>
      </c>
      <c r="DN68" s="1">
        <v>44553</v>
      </c>
      <c r="DO68" s="1">
        <v>39942</v>
      </c>
      <c r="DP68" s="1">
        <v>18990</v>
      </c>
      <c r="DQ68" s="1">
        <v>44688</v>
      </c>
      <c r="DR68" s="1">
        <v>51266</v>
      </c>
      <c r="DS68" s="1">
        <v>52658</v>
      </c>
      <c r="DT68" s="1">
        <v>47385</v>
      </c>
      <c r="DU68" s="1">
        <v>33603</v>
      </c>
      <c r="DV68" s="1">
        <v>26610</v>
      </c>
      <c r="DW68" s="2">
        <v>41957.45</v>
      </c>
      <c r="DX68" s="2">
        <v>19624.669999999998</v>
      </c>
      <c r="DY68" s="2">
        <v>1267.3499999999999</v>
      </c>
      <c r="DZ68" s="2">
        <v>261.54000000000002</v>
      </c>
      <c r="EA68" s="2">
        <v>1475.68</v>
      </c>
      <c r="EB68" s="2">
        <v>1254.3399999999999</v>
      </c>
      <c r="EC68" s="2">
        <v>2272.7600000000002</v>
      </c>
      <c r="ED68" s="2">
        <v>6290.94</v>
      </c>
      <c r="EE68" s="2">
        <v>3502.08</v>
      </c>
      <c r="EF68" s="2">
        <v>1414.5</v>
      </c>
      <c r="EG68" s="2">
        <v>9200.2800000000007</v>
      </c>
      <c r="EH68" s="2">
        <v>1597.88</v>
      </c>
      <c r="EI68" s="2">
        <v>777.99</v>
      </c>
      <c r="EJ68" s="2">
        <v>560.9</v>
      </c>
      <c r="EK68" s="2">
        <v>89.2</v>
      </c>
      <c r="EL68" s="2">
        <v>297.92</v>
      </c>
      <c r="EM68" s="2">
        <v>7492.35</v>
      </c>
      <c r="EN68" s="2">
        <v>3216.02</v>
      </c>
      <c r="EO68" s="2">
        <v>985.72</v>
      </c>
      <c r="EP68" s="1">
        <v>22632</v>
      </c>
      <c r="EQ68" s="1">
        <v>3178</v>
      </c>
      <c r="ER68" s="1">
        <v>513</v>
      </c>
      <c r="ES68" s="1">
        <v>4667</v>
      </c>
      <c r="ET68" s="1">
        <v>22412</v>
      </c>
      <c r="EU68" s="1">
        <v>36453</v>
      </c>
      <c r="EV68" s="1">
        <v>65163</v>
      </c>
      <c r="EW68" s="1">
        <v>4601</v>
      </c>
      <c r="EX68" s="1">
        <v>14712</v>
      </c>
      <c r="EY68" s="1">
        <v>2772</v>
      </c>
      <c r="EZ68" s="1">
        <v>176813</v>
      </c>
      <c r="FA68" s="1">
        <v>15857</v>
      </c>
      <c r="FB68" s="1">
        <v>60306</v>
      </c>
      <c r="FC68" s="1">
        <v>27450</v>
      </c>
      <c r="FD68" s="1">
        <v>17780</v>
      </c>
      <c r="FE68" s="1">
        <v>81060</v>
      </c>
      <c r="FF68" s="1">
        <v>3250</v>
      </c>
      <c r="FG68" s="1">
        <v>271016</v>
      </c>
      <c r="FH68" s="1">
        <v>30122</v>
      </c>
      <c r="FI68" s="1">
        <v>12221</v>
      </c>
      <c r="FJ68" s="1">
        <v>455</v>
      </c>
      <c r="FK68" s="1">
        <v>1864</v>
      </c>
      <c r="FL68" s="1">
        <v>4885</v>
      </c>
      <c r="FM68" s="1">
        <v>975</v>
      </c>
      <c r="FN68" s="1">
        <v>62548</v>
      </c>
      <c r="FO68" s="1">
        <v>385881</v>
      </c>
      <c r="FP68" s="1">
        <v>166</v>
      </c>
      <c r="FQ68" s="1">
        <v>126</v>
      </c>
      <c r="FR68" s="1">
        <v>87</v>
      </c>
      <c r="FS68" s="1">
        <v>91</v>
      </c>
      <c r="FT68" s="1">
        <v>193</v>
      </c>
      <c r="FU68" s="1">
        <v>104</v>
      </c>
      <c r="FV68" s="1">
        <v>172</v>
      </c>
      <c r="FW68" s="1">
        <v>158</v>
      </c>
      <c r="FX68" s="1">
        <v>174</v>
      </c>
      <c r="FY68" s="1">
        <v>189</v>
      </c>
      <c r="FZ68" s="3">
        <v>0.15</v>
      </c>
      <c r="GA68" s="3">
        <v>-2.0630000000000002</v>
      </c>
      <c r="GB68" s="3">
        <v>-2.3780000000000001</v>
      </c>
      <c r="GC68" s="3">
        <v>-0.54500000000000004</v>
      </c>
      <c r="GD68" s="3">
        <v>0.14499999999999999</v>
      </c>
      <c r="GE68" s="3">
        <v>0.89900000000000002</v>
      </c>
      <c r="GF68" s="3">
        <v>0.29099999999999998</v>
      </c>
      <c r="GG68" s="3">
        <v>3.2000000000000001E-2</v>
      </c>
      <c r="GH68" s="3">
        <v>0.41599999999999998</v>
      </c>
      <c r="GI68" s="3">
        <v>1.9339999999999999</v>
      </c>
      <c r="GJ68" s="3">
        <v>0.31</v>
      </c>
      <c r="GK68" s="3">
        <v>-8.5999999999999993E-2</v>
      </c>
      <c r="GL68" s="3">
        <v>-6.6000000000000003E-2</v>
      </c>
      <c r="GM68" s="3">
        <v>0.219</v>
      </c>
      <c r="GN68" s="3">
        <v>-1.3879999999999999</v>
      </c>
      <c r="GO68" s="3">
        <v>-9.2999999999999999E-2</v>
      </c>
      <c r="GP68" s="3">
        <v>-0.307</v>
      </c>
      <c r="GQ68" s="3">
        <v>6.4000000000000001E-2</v>
      </c>
      <c r="GR68" s="3">
        <v>-0.32400000000000001</v>
      </c>
      <c r="GS68" s="3">
        <v>0.52</v>
      </c>
      <c r="GT68" s="3">
        <v>-5.2999999999999999E-2</v>
      </c>
      <c r="GU68" s="3">
        <v>0.10299999999999999</v>
      </c>
      <c r="GV68" s="3">
        <v>-0.307</v>
      </c>
      <c r="GW68" s="3">
        <v>-6.0000000000000001E-3</v>
      </c>
      <c r="GX68" s="3">
        <v>-0.57299999999999995</v>
      </c>
      <c r="GY68" s="3">
        <v>0.224</v>
      </c>
      <c r="GZ68" s="4">
        <v>94</v>
      </c>
      <c r="HA68" s="4">
        <v>81</v>
      </c>
      <c r="HB68" s="4">
        <v>99</v>
      </c>
      <c r="HC68" s="4">
        <v>89</v>
      </c>
      <c r="HD68" s="4">
        <v>133</v>
      </c>
      <c r="HE68" s="4">
        <v>96</v>
      </c>
      <c r="HF68" s="1">
        <v>3037</v>
      </c>
      <c r="HG68" s="1">
        <v>2071</v>
      </c>
      <c r="HH68" s="1">
        <v>1727</v>
      </c>
      <c r="HI68" s="1">
        <v>1781</v>
      </c>
      <c r="HJ68" s="1">
        <v>1769</v>
      </c>
      <c r="HK68" s="1">
        <v>1642</v>
      </c>
      <c r="HL68" s="1">
        <v>1703</v>
      </c>
      <c r="HM68" s="1">
        <v>3693</v>
      </c>
      <c r="HN68" s="1">
        <v>4251</v>
      </c>
      <c r="HO68" s="1">
        <v>5819</v>
      </c>
      <c r="HP68" s="1">
        <v>6803</v>
      </c>
      <c r="HQ68" s="1">
        <v>8839</v>
      </c>
      <c r="HR68" s="1">
        <v>8840</v>
      </c>
      <c r="HS68" s="1">
        <v>23148</v>
      </c>
      <c r="HT68" s="1">
        <v>20658</v>
      </c>
      <c r="HU68" s="1">
        <v>24781</v>
      </c>
      <c r="HV68" s="1">
        <v>16014</v>
      </c>
      <c r="HW68" s="1">
        <v>26414</v>
      </c>
      <c r="HX68" s="1">
        <v>18178</v>
      </c>
      <c r="HY68" s="1">
        <v>21947</v>
      </c>
      <c r="HZ68" s="1">
        <v>10890</v>
      </c>
      <c r="IA68" s="1">
        <v>12147</v>
      </c>
      <c r="IB68" s="1">
        <v>3826</v>
      </c>
      <c r="IC68" s="1">
        <v>3155</v>
      </c>
      <c r="ID68" s="1">
        <v>170968</v>
      </c>
      <c r="IE68" s="1">
        <v>7242</v>
      </c>
      <c r="IF68" s="1">
        <v>6739</v>
      </c>
      <c r="IG68" s="1">
        <v>9439</v>
      </c>
      <c r="IH68" s="1">
        <v>13272</v>
      </c>
      <c r="II68" s="1">
        <v>14494</v>
      </c>
      <c r="IJ68" s="1">
        <v>22812</v>
      </c>
      <c r="IK68" s="1">
        <v>33171</v>
      </c>
      <c r="IL68" s="1">
        <v>47613</v>
      </c>
      <c r="IM68" s="1">
        <v>56087</v>
      </c>
      <c r="IN68" s="1">
        <v>64223</v>
      </c>
      <c r="IO68" s="1">
        <v>64155</v>
      </c>
      <c r="IP68" s="1">
        <v>63338</v>
      </c>
      <c r="IQ68" s="1">
        <v>61039</v>
      </c>
      <c r="IR68" s="1">
        <v>50337</v>
      </c>
      <c r="IS68" s="1">
        <v>44940</v>
      </c>
      <c r="IT68" s="1">
        <v>74287</v>
      </c>
      <c r="IU68" s="1">
        <v>55974</v>
      </c>
      <c r="IV68" s="1">
        <v>92933</v>
      </c>
      <c r="IW68">
        <v>52772</v>
      </c>
      <c r="IX68">
        <v>58891</v>
      </c>
      <c r="IY68">
        <v>27993</v>
      </c>
      <c r="IZ68">
        <v>23903</v>
      </c>
      <c r="JA68">
        <v>709</v>
      </c>
      <c r="JB68">
        <v>145699</v>
      </c>
      <c r="JC68">
        <v>18386</v>
      </c>
      <c r="JD68">
        <v>6807</v>
      </c>
      <c r="JE68">
        <v>6213</v>
      </c>
      <c r="JF68">
        <v>5104</v>
      </c>
      <c r="JG68">
        <v>4320</v>
      </c>
      <c r="JH68">
        <v>3761</v>
      </c>
      <c r="JI68">
        <v>4251</v>
      </c>
      <c r="JJ68">
        <v>10599</v>
      </c>
      <c r="JK68">
        <v>338</v>
      </c>
      <c r="JL68">
        <v>128825</v>
      </c>
      <c r="JM68">
        <v>42580</v>
      </c>
      <c r="JN68">
        <v>70159</v>
      </c>
      <c r="JO68">
        <v>105765</v>
      </c>
      <c r="JP68">
        <v>138602</v>
      </c>
      <c r="JQ68">
        <v>160629</v>
      </c>
      <c r="JR68">
        <v>115965</v>
      </c>
      <c r="JS68">
        <v>98777</v>
      </c>
      <c r="JT68">
        <v>14072</v>
      </c>
      <c r="JU68">
        <v>491</v>
      </c>
      <c r="JV68">
        <v>82554</v>
      </c>
      <c r="JW68">
        <v>80904</v>
      </c>
      <c r="JX68">
        <v>141359</v>
      </c>
      <c r="JY68">
        <v>150092</v>
      </c>
      <c r="JZ68">
        <v>184010</v>
      </c>
      <c r="KA68">
        <v>116722</v>
      </c>
      <c r="KB68">
        <v>94045</v>
      </c>
      <c r="KC68">
        <v>53330</v>
      </c>
      <c r="KD68">
        <v>178327</v>
      </c>
      <c r="KE68">
        <v>9237</v>
      </c>
      <c r="KF68">
        <v>2475</v>
      </c>
      <c r="KG68">
        <v>42226</v>
      </c>
      <c r="KH68">
        <v>68976</v>
      </c>
      <c r="KI68">
        <v>19346</v>
      </c>
      <c r="KJ68">
        <v>169019</v>
      </c>
      <c r="KK68">
        <v>24412</v>
      </c>
      <c r="KL68">
        <v>4802</v>
      </c>
      <c r="KM68">
        <v>27983</v>
      </c>
      <c r="KN68">
        <v>40311</v>
      </c>
      <c r="KO68">
        <v>22363</v>
      </c>
      <c r="KP68">
        <v>82730</v>
      </c>
      <c r="KQ68">
        <v>678</v>
      </c>
      <c r="KR68">
        <v>39091</v>
      </c>
      <c r="KS68">
        <v>298357</v>
      </c>
      <c r="KT68">
        <v>136811</v>
      </c>
      <c r="KU68">
        <v>44721</v>
      </c>
      <c r="KV68">
        <v>187011</v>
      </c>
      <c r="KW68">
        <v>53560</v>
      </c>
      <c r="KX68">
        <v>39312</v>
      </c>
      <c r="KY68">
        <v>829167</v>
      </c>
      <c r="KZ68">
        <v>21374</v>
      </c>
      <c r="LA68">
        <v>133566</v>
      </c>
      <c r="LB68">
        <v>69750</v>
      </c>
      <c r="LC68">
        <v>190667</v>
      </c>
      <c r="LD68">
        <v>21639</v>
      </c>
      <c r="LE68">
        <v>46028</v>
      </c>
      <c r="LF68">
        <v>1230</v>
      </c>
      <c r="LG68">
        <v>856497</v>
      </c>
      <c r="LH68">
        <v>13491</v>
      </c>
      <c r="LI68">
        <v>64068</v>
      </c>
      <c r="LJ68">
        <v>7667</v>
      </c>
      <c r="LK68">
        <v>53274</v>
      </c>
      <c r="LL68">
        <v>22848</v>
      </c>
      <c r="LM68">
        <v>49028</v>
      </c>
      <c r="LN68">
        <v>2173</v>
      </c>
      <c r="LO68">
        <v>12297</v>
      </c>
      <c r="LP68">
        <v>1811.0335700000001</v>
      </c>
      <c r="LQ68">
        <v>1489.0822800000001</v>
      </c>
    </row>
    <row r="69" spans="1:329" x14ac:dyDescent="0.25">
      <c r="A69" s="5" t="s">
        <v>391</v>
      </c>
      <c r="B69" s="5" t="s">
        <v>324</v>
      </c>
      <c r="C69" s="1">
        <v>1903615</v>
      </c>
      <c r="D69" s="1">
        <v>1905089</v>
      </c>
      <c r="E69" s="1">
        <v>1823092</v>
      </c>
      <c r="F69" s="1">
        <v>1877221</v>
      </c>
      <c r="G69" s="1">
        <v>1933047</v>
      </c>
      <c r="H69" s="1">
        <v>893244</v>
      </c>
      <c r="I69" s="1">
        <v>906778</v>
      </c>
      <c r="J69" s="1">
        <v>913523</v>
      </c>
      <c r="K69" s="1">
        <v>988475</v>
      </c>
      <c r="L69" s="1">
        <v>1021886</v>
      </c>
      <c r="M69" s="1">
        <v>1061007</v>
      </c>
      <c r="N69" s="1">
        <v>276867</v>
      </c>
      <c r="O69" s="1">
        <v>711608</v>
      </c>
      <c r="P69" s="1">
        <v>72532</v>
      </c>
      <c r="Q69" s="1">
        <v>125380</v>
      </c>
      <c r="R69" s="1">
        <v>6679</v>
      </c>
      <c r="S69" s="1">
        <v>58</v>
      </c>
      <c r="T69" s="1">
        <v>1041202</v>
      </c>
      <c r="U69" s="1">
        <v>711554</v>
      </c>
      <c r="V69" s="1">
        <v>124465</v>
      </c>
      <c r="W69" s="1">
        <v>6808</v>
      </c>
      <c r="X69" s="1">
        <v>136</v>
      </c>
      <c r="Y69" s="2">
        <v>43.61</v>
      </c>
      <c r="Z69" s="1">
        <v>99311</v>
      </c>
      <c r="AA69" s="1">
        <v>88607</v>
      </c>
      <c r="AB69" s="1">
        <v>84579</v>
      </c>
      <c r="AC69" s="1">
        <v>93377</v>
      </c>
      <c r="AD69" s="1">
        <v>128599</v>
      </c>
      <c r="AE69" s="1">
        <v>140075</v>
      </c>
      <c r="AF69" s="1">
        <v>116333</v>
      </c>
      <c r="AG69" s="1">
        <v>102245</v>
      </c>
      <c r="AH69" s="1">
        <v>92627</v>
      </c>
      <c r="AI69" s="1">
        <v>102304</v>
      </c>
      <c r="AJ69" s="1">
        <v>110143</v>
      </c>
      <c r="AK69" s="1">
        <v>125439</v>
      </c>
      <c r="AL69" s="1">
        <v>126150</v>
      </c>
      <c r="AM69" s="1">
        <v>119176</v>
      </c>
      <c r="AN69" s="1">
        <v>102362</v>
      </c>
      <c r="AO69" s="1">
        <v>80948</v>
      </c>
      <c r="AP69" s="1">
        <v>66815</v>
      </c>
      <c r="AQ69" s="1">
        <v>98129</v>
      </c>
      <c r="AR69" s="1">
        <v>883394</v>
      </c>
      <c r="AS69" s="1">
        <v>993827</v>
      </c>
      <c r="AT69" s="1">
        <v>1030447</v>
      </c>
      <c r="AU69" s="1">
        <v>498391</v>
      </c>
      <c r="AV69" s="1">
        <v>11793</v>
      </c>
      <c r="AW69" s="1">
        <v>55781</v>
      </c>
      <c r="AX69" s="1">
        <v>1250</v>
      </c>
      <c r="AY69" s="1">
        <v>3065</v>
      </c>
      <c r="AZ69" s="1">
        <v>48280</v>
      </c>
      <c r="BA69" s="1">
        <v>228384</v>
      </c>
      <c r="BB69" s="1">
        <v>1604721</v>
      </c>
      <c r="BC69" s="1">
        <v>627401</v>
      </c>
      <c r="BD69" s="1">
        <v>396698</v>
      </c>
      <c r="BE69" s="1">
        <v>102561</v>
      </c>
      <c r="BF69" s="1">
        <v>188145</v>
      </c>
      <c r="BG69" s="1">
        <v>289916</v>
      </c>
      <c r="BH69" s="1">
        <v>1382745</v>
      </c>
      <c r="BI69" s="1">
        <v>87363</v>
      </c>
      <c r="BJ69" s="1">
        <v>149965</v>
      </c>
      <c r="BK69" s="1">
        <v>455993</v>
      </c>
      <c r="BL69" s="1">
        <v>297902</v>
      </c>
      <c r="BM69" s="1">
        <v>106507</v>
      </c>
      <c r="BN69" s="1">
        <v>181110</v>
      </c>
      <c r="BO69" s="1">
        <v>103905</v>
      </c>
      <c r="BP69" s="1">
        <v>1589994</v>
      </c>
      <c r="BQ69" s="1">
        <v>2054</v>
      </c>
      <c r="BR69" s="1">
        <v>732755</v>
      </c>
      <c r="BS69" s="1">
        <v>40442</v>
      </c>
      <c r="BT69" s="1">
        <v>814743</v>
      </c>
      <c r="BU69" s="1">
        <v>344284</v>
      </c>
      <c r="BV69" s="1">
        <v>644191</v>
      </c>
      <c r="BW69" s="1">
        <v>75070</v>
      </c>
      <c r="BX69" s="1">
        <v>18886</v>
      </c>
      <c r="BY69" s="1">
        <v>77577</v>
      </c>
      <c r="BZ69" s="1">
        <v>119077</v>
      </c>
      <c r="CA69" s="1">
        <v>15370</v>
      </c>
      <c r="CB69" s="1">
        <v>37984</v>
      </c>
      <c r="CC69" s="2">
        <v>1.77</v>
      </c>
      <c r="CD69" s="1">
        <v>588504</v>
      </c>
      <c r="CE69" s="1">
        <v>210874</v>
      </c>
      <c r="CF69" s="1">
        <v>85117</v>
      </c>
      <c r="CG69" s="1">
        <v>56391</v>
      </c>
      <c r="CH69" s="1">
        <v>27370</v>
      </c>
      <c r="CI69" s="1">
        <v>11500</v>
      </c>
      <c r="CJ69" s="1">
        <v>8719</v>
      </c>
      <c r="CK69" s="2">
        <v>56.47</v>
      </c>
      <c r="CL69" s="1">
        <v>42325</v>
      </c>
      <c r="CM69" s="1">
        <v>141314</v>
      </c>
      <c r="CN69" s="1">
        <v>123609</v>
      </c>
      <c r="CO69" s="1">
        <v>141537</v>
      </c>
      <c r="CP69" s="1">
        <v>183964</v>
      </c>
      <c r="CQ69" s="1">
        <v>171370</v>
      </c>
      <c r="CR69" s="1">
        <v>114187</v>
      </c>
      <c r="CS69" s="1">
        <v>70169</v>
      </c>
      <c r="CT69" s="1">
        <v>287765</v>
      </c>
      <c r="CU69" s="1">
        <v>416279</v>
      </c>
      <c r="CV69" s="1">
        <v>284431</v>
      </c>
      <c r="CW69" s="1">
        <v>22992</v>
      </c>
      <c r="CX69" s="1">
        <v>28413</v>
      </c>
      <c r="CY69" s="1">
        <v>52181</v>
      </c>
      <c r="CZ69" s="1">
        <v>160995</v>
      </c>
      <c r="DA69" s="1">
        <v>119838</v>
      </c>
      <c r="DB69" s="1">
        <v>96667</v>
      </c>
      <c r="DC69" s="1">
        <v>77758</v>
      </c>
      <c r="DD69" s="1">
        <v>57094</v>
      </c>
      <c r="DE69" s="1">
        <v>49209</v>
      </c>
      <c r="DF69" s="1">
        <v>45100</v>
      </c>
      <c r="DG69" s="1">
        <v>42306</v>
      </c>
      <c r="DH69" s="1">
        <v>35237</v>
      </c>
      <c r="DI69" s="1">
        <v>61087</v>
      </c>
      <c r="DJ69" s="1">
        <v>71264</v>
      </c>
      <c r="DK69" s="1">
        <v>76125</v>
      </c>
      <c r="DL69" s="1">
        <v>35870</v>
      </c>
      <c r="DM69" s="1">
        <v>24434</v>
      </c>
      <c r="DN69" s="1">
        <v>20293</v>
      </c>
      <c r="DO69" s="1">
        <v>15197</v>
      </c>
      <c r="DP69" s="1">
        <v>19702</v>
      </c>
      <c r="DQ69" s="1">
        <v>34751</v>
      </c>
      <c r="DR69" s="1">
        <v>36865</v>
      </c>
      <c r="DS69" s="1">
        <v>37654</v>
      </c>
      <c r="DT69" s="1">
        <v>28144</v>
      </c>
      <c r="DU69" s="1">
        <v>26011</v>
      </c>
      <c r="DV69" s="1">
        <v>22280</v>
      </c>
      <c r="DW69" s="2">
        <v>39106.33</v>
      </c>
      <c r="DX69" s="2">
        <v>18178.060000000001</v>
      </c>
      <c r="DY69" s="2">
        <v>1194.81</v>
      </c>
      <c r="DZ69" s="2">
        <v>241.26</v>
      </c>
      <c r="EA69" s="2">
        <v>1348.08</v>
      </c>
      <c r="EB69" s="2">
        <v>1097.24</v>
      </c>
      <c r="EC69" s="2">
        <v>2095.71</v>
      </c>
      <c r="ED69" s="2">
        <v>5868.1</v>
      </c>
      <c r="EE69" s="2">
        <v>3388.05</v>
      </c>
      <c r="EF69" s="2">
        <v>1301.71</v>
      </c>
      <c r="EG69" s="2">
        <v>8604.94</v>
      </c>
      <c r="EH69" s="2">
        <v>1500.78</v>
      </c>
      <c r="EI69" s="2">
        <v>737.02</v>
      </c>
      <c r="EJ69" s="2">
        <v>524.41</v>
      </c>
      <c r="EK69" s="2">
        <v>85.15</v>
      </c>
      <c r="EL69" s="2">
        <v>289.92</v>
      </c>
      <c r="EM69" s="2">
        <v>6841.18</v>
      </c>
      <c r="EN69" s="2">
        <v>3087.31</v>
      </c>
      <c r="EO69" s="2">
        <v>900.66</v>
      </c>
      <c r="EP69" s="1">
        <v>17266</v>
      </c>
      <c r="EQ69" s="1">
        <v>2519</v>
      </c>
      <c r="ER69" s="1">
        <v>488</v>
      </c>
      <c r="ES69" s="1">
        <v>2753</v>
      </c>
      <c r="ET69" s="1">
        <v>14245</v>
      </c>
      <c r="EU69" s="1">
        <v>22895</v>
      </c>
      <c r="EV69" s="1">
        <v>47966</v>
      </c>
      <c r="EW69" s="1">
        <v>3950</v>
      </c>
      <c r="EX69" s="1">
        <v>10487</v>
      </c>
      <c r="EY69" s="1">
        <v>1946</v>
      </c>
      <c r="EZ69" s="1">
        <v>124017</v>
      </c>
      <c r="FA69" s="1">
        <v>13573</v>
      </c>
      <c r="FB69" s="1">
        <v>42142</v>
      </c>
      <c r="FC69" s="1">
        <v>18325</v>
      </c>
      <c r="FD69" s="1">
        <v>12192</v>
      </c>
      <c r="FE69" s="1">
        <v>51041</v>
      </c>
      <c r="FF69" s="1">
        <v>2446</v>
      </c>
      <c r="FG69" s="1">
        <v>196279</v>
      </c>
      <c r="FH69" s="1">
        <v>19800</v>
      </c>
      <c r="FI69" s="1">
        <v>11008</v>
      </c>
      <c r="FJ69" s="1">
        <v>288</v>
      </c>
      <c r="FK69" s="1">
        <v>1622</v>
      </c>
      <c r="FL69" s="1">
        <v>3006</v>
      </c>
      <c r="FM69" s="1">
        <v>819</v>
      </c>
      <c r="FN69" s="1">
        <v>48784</v>
      </c>
      <c r="FO69" s="1">
        <v>271963</v>
      </c>
      <c r="FP69" s="1">
        <v>193</v>
      </c>
      <c r="FQ69" s="1">
        <v>212</v>
      </c>
      <c r="FR69" s="1">
        <v>218</v>
      </c>
      <c r="FS69" s="1">
        <v>104</v>
      </c>
      <c r="FT69" s="1">
        <v>304</v>
      </c>
      <c r="FU69" s="1">
        <v>189</v>
      </c>
      <c r="FV69" s="1">
        <v>190</v>
      </c>
      <c r="FW69" s="1">
        <v>157</v>
      </c>
      <c r="FX69" s="1">
        <v>198</v>
      </c>
      <c r="FY69" s="1">
        <v>201</v>
      </c>
      <c r="FZ69" s="3">
        <v>-0.38600000000000001</v>
      </c>
      <c r="GA69" s="3">
        <v>-1.9450000000000001</v>
      </c>
      <c r="GB69" s="3">
        <v>1.0589999999999999</v>
      </c>
      <c r="GC69" s="3">
        <v>-0.24099999999999999</v>
      </c>
      <c r="GD69" s="3">
        <v>0.218</v>
      </c>
      <c r="GE69" s="3">
        <v>-0.128</v>
      </c>
      <c r="GF69" s="3">
        <v>4.0000000000000001E-3</v>
      </c>
      <c r="GG69" s="3">
        <v>-0.107</v>
      </c>
      <c r="GH69" s="3">
        <v>-0.13600000000000001</v>
      </c>
      <c r="GI69" s="3">
        <v>-0.23</v>
      </c>
      <c r="GJ69" s="3">
        <v>-0.33600000000000002</v>
      </c>
      <c r="GK69" s="3">
        <v>-0.50700000000000001</v>
      </c>
      <c r="GL69" s="3">
        <v>0.16500000000000001</v>
      </c>
      <c r="GM69" s="3">
        <v>-0.187</v>
      </c>
      <c r="GN69" s="3">
        <v>8.0000000000000002E-3</v>
      </c>
      <c r="GO69" s="3">
        <v>0.14299999999999999</v>
      </c>
      <c r="GP69" s="3">
        <v>1.5660000000000001</v>
      </c>
      <c r="GQ69" s="3">
        <v>-0.02</v>
      </c>
      <c r="GR69" s="3">
        <v>7.1999999999999995E-2</v>
      </c>
      <c r="GS69" s="3">
        <v>-0.24299999999999999</v>
      </c>
      <c r="GT69" s="3">
        <v>-0.16200000000000001</v>
      </c>
      <c r="GU69" s="3">
        <v>-0.34100000000000003</v>
      </c>
      <c r="GV69" s="3">
        <v>-0.01</v>
      </c>
      <c r="GW69" s="3">
        <v>-3.2000000000000001E-2</v>
      </c>
      <c r="GX69" s="3">
        <v>4.0000000000000001E-3</v>
      </c>
      <c r="GY69" s="3">
        <v>0.106</v>
      </c>
      <c r="GZ69" s="4">
        <v>87</v>
      </c>
      <c r="HA69" s="4">
        <v>77</v>
      </c>
      <c r="HB69" s="4">
        <v>93</v>
      </c>
      <c r="HC69" s="4">
        <v>76</v>
      </c>
      <c r="HD69" s="4">
        <v>122</v>
      </c>
      <c r="HE69" s="4">
        <v>88</v>
      </c>
      <c r="HF69" s="1">
        <v>4231</v>
      </c>
      <c r="HG69" s="1">
        <v>3202</v>
      </c>
      <c r="HH69" s="1">
        <v>3137</v>
      </c>
      <c r="HI69" s="1">
        <v>3068</v>
      </c>
      <c r="HJ69" s="1">
        <v>2988</v>
      </c>
      <c r="HK69" s="1">
        <v>3959</v>
      </c>
      <c r="HL69" s="1">
        <v>3596</v>
      </c>
      <c r="HM69" s="1">
        <v>9089</v>
      </c>
      <c r="HN69" s="1">
        <v>12377</v>
      </c>
      <c r="HO69" s="1">
        <v>14616</v>
      </c>
      <c r="HP69" s="1">
        <v>16437</v>
      </c>
      <c r="HQ69" s="1">
        <v>18009</v>
      </c>
      <c r="HR69" s="1">
        <v>16767</v>
      </c>
      <c r="HS69" s="1">
        <v>33274</v>
      </c>
      <c r="HT69" s="1">
        <v>24512</v>
      </c>
      <c r="HU69" s="1">
        <v>24548</v>
      </c>
      <c r="HV69" s="1">
        <v>14781</v>
      </c>
      <c r="HW69" s="1">
        <v>18724</v>
      </c>
      <c r="HX69" s="1">
        <v>11213</v>
      </c>
      <c r="HY69" s="1">
        <v>11405</v>
      </c>
      <c r="HZ69" s="1">
        <v>5108</v>
      </c>
      <c r="IA69" s="1">
        <v>4655</v>
      </c>
      <c r="IB69" s="1">
        <v>1535</v>
      </c>
      <c r="IC69" s="1">
        <v>1502</v>
      </c>
      <c r="ID69" s="1">
        <v>114943</v>
      </c>
      <c r="IE69" s="1">
        <v>17690</v>
      </c>
      <c r="IF69" s="1">
        <v>20764</v>
      </c>
      <c r="IG69" s="1">
        <v>49151</v>
      </c>
      <c r="IH69" s="1">
        <v>46009</v>
      </c>
      <c r="II69" s="1">
        <v>33033</v>
      </c>
      <c r="IJ69" s="1">
        <v>34239</v>
      </c>
      <c r="IK69" s="1">
        <v>37768</v>
      </c>
      <c r="IL69" s="1">
        <v>42567</v>
      </c>
      <c r="IM69" s="1">
        <v>44005</v>
      </c>
      <c r="IN69" s="1">
        <v>46207</v>
      </c>
      <c r="IO69" s="1">
        <v>40566</v>
      </c>
      <c r="IP69" s="1">
        <v>37157</v>
      </c>
      <c r="IQ69" s="1">
        <v>30600</v>
      </c>
      <c r="IR69" s="1">
        <v>24924</v>
      </c>
      <c r="IS69" s="1">
        <v>20154</v>
      </c>
      <c r="IT69" s="1">
        <v>29590</v>
      </c>
      <c r="IU69" s="1">
        <v>17889</v>
      </c>
      <c r="IV69" s="1">
        <v>24061</v>
      </c>
      <c r="IW69">
        <v>9483</v>
      </c>
      <c r="IX69">
        <v>13044</v>
      </c>
      <c r="IY69">
        <v>12186</v>
      </c>
      <c r="IZ69">
        <v>19802</v>
      </c>
      <c r="JA69">
        <v>473</v>
      </c>
      <c r="JB69">
        <v>192021</v>
      </c>
      <c r="JC69">
        <v>19305</v>
      </c>
      <c r="JD69">
        <v>6826</v>
      </c>
      <c r="JE69">
        <v>3998</v>
      </c>
      <c r="JF69">
        <v>2658</v>
      </c>
      <c r="JG69">
        <v>2389</v>
      </c>
      <c r="JH69">
        <v>3141</v>
      </c>
      <c r="JI69">
        <v>5287</v>
      </c>
      <c r="JJ69">
        <v>8429</v>
      </c>
      <c r="JK69">
        <v>176</v>
      </c>
      <c r="JL69">
        <v>77340</v>
      </c>
      <c r="JM69">
        <v>26560</v>
      </c>
      <c r="JN69">
        <v>43928</v>
      </c>
      <c r="JO69">
        <v>57736</v>
      </c>
      <c r="JP69">
        <v>60911</v>
      </c>
      <c r="JQ69">
        <v>57663</v>
      </c>
      <c r="JR69">
        <v>67167</v>
      </c>
      <c r="JS69">
        <v>273998</v>
      </c>
      <c r="JT69">
        <v>7984</v>
      </c>
      <c r="JU69">
        <v>437</v>
      </c>
      <c r="JV69">
        <v>32129</v>
      </c>
      <c r="JW69">
        <v>39979</v>
      </c>
      <c r="JX69">
        <v>75414</v>
      </c>
      <c r="JY69">
        <v>114780</v>
      </c>
      <c r="JZ69">
        <v>177023</v>
      </c>
      <c r="KA69">
        <v>119413</v>
      </c>
      <c r="KB69">
        <v>108258</v>
      </c>
      <c r="KC69">
        <v>63663</v>
      </c>
      <c r="KD69">
        <v>187295</v>
      </c>
      <c r="KE69">
        <v>3961</v>
      </c>
      <c r="KF69">
        <v>2031</v>
      </c>
      <c r="KG69">
        <v>29993</v>
      </c>
      <c r="KH69">
        <v>64213</v>
      </c>
      <c r="KI69">
        <v>13332</v>
      </c>
      <c r="KJ69">
        <v>74230</v>
      </c>
      <c r="KK69">
        <v>24457</v>
      </c>
      <c r="KL69">
        <v>3795</v>
      </c>
      <c r="KM69">
        <v>11275</v>
      </c>
      <c r="KN69">
        <v>22274</v>
      </c>
      <c r="KO69">
        <v>11569</v>
      </c>
      <c r="KP69">
        <v>23167</v>
      </c>
      <c r="KQ69">
        <v>494</v>
      </c>
      <c r="KR69">
        <v>31256</v>
      </c>
      <c r="KS69">
        <v>48361</v>
      </c>
      <c r="KT69">
        <v>102462</v>
      </c>
      <c r="KU69">
        <v>14313</v>
      </c>
      <c r="KV69">
        <v>57654</v>
      </c>
      <c r="KW69">
        <v>32828</v>
      </c>
      <c r="KX69">
        <v>25865</v>
      </c>
      <c r="KY69">
        <v>412187</v>
      </c>
      <c r="KZ69">
        <v>11280</v>
      </c>
      <c r="LA69">
        <v>64628</v>
      </c>
      <c r="LB69">
        <v>42728</v>
      </c>
      <c r="LC69">
        <v>24123</v>
      </c>
      <c r="LD69">
        <v>12941</v>
      </c>
      <c r="LE69">
        <v>28968</v>
      </c>
      <c r="LF69">
        <v>675</v>
      </c>
      <c r="LG69">
        <v>812506</v>
      </c>
      <c r="LH69">
        <v>16896</v>
      </c>
      <c r="LI69">
        <v>37539</v>
      </c>
      <c r="LJ69">
        <v>9071</v>
      </c>
      <c r="LK69">
        <v>21200</v>
      </c>
      <c r="LL69">
        <v>5449</v>
      </c>
      <c r="LM69">
        <v>6878</v>
      </c>
      <c r="LN69">
        <v>2659</v>
      </c>
      <c r="LO69">
        <v>5756</v>
      </c>
      <c r="LP69">
        <v>1238.2025100000001</v>
      </c>
      <c r="LQ69">
        <v>1506.9627</v>
      </c>
    </row>
    <row r="71" spans="1:329" x14ac:dyDescent="0.25">
      <c r="A71" s="1" t="s">
        <v>254</v>
      </c>
      <c r="C71" s="1">
        <v>248584652</v>
      </c>
      <c r="D71" s="1">
        <v>281399034</v>
      </c>
      <c r="E71" s="1">
        <v>308745538</v>
      </c>
      <c r="F71" s="1">
        <v>322736220</v>
      </c>
      <c r="G71" s="1">
        <v>335779240</v>
      </c>
      <c r="H71" s="1">
        <v>91926423</v>
      </c>
      <c r="I71" s="1">
        <v>105471527</v>
      </c>
      <c r="J71" s="1">
        <v>116716292</v>
      </c>
      <c r="K71" s="1">
        <v>123896538</v>
      </c>
      <c r="L71" s="1">
        <v>130055646</v>
      </c>
      <c r="M71" s="1">
        <v>134860059</v>
      </c>
      <c r="N71" s="1">
        <v>79747794</v>
      </c>
      <c r="O71" s="1">
        <v>44148744</v>
      </c>
      <c r="P71" s="1">
        <v>10963521</v>
      </c>
      <c r="Q71" s="1">
        <v>14988438</v>
      </c>
      <c r="R71" s="1">
        <v>4649298</v>
      </c>
      <c r="S71" s="1">
        <v>24161</v>
      </c>
      <c r="T71" s="1">
        <v>260804518</v>
      </c>
      <c r="U71" s="1">
        <v>53892689</v>
      </c>
      <c r="V71" s="1">
        <v>8039013</v>
      </c>
      <c r="W71" s="1">
        <v>2623756</v>
      </c>
      <c r="X71" s="1">
        <v>286533</v>
      </c>
      <c r="Y71" s="2">
        <v>36.97</v>
      </c>
      <c r="Z71" s="1">
        <v>19969086</v>
      </c>
      <c r="AA71" s="1">
        <v>20386568</v>
      </c>
      <c r="AB71" s="1">
        <v>20702748</v>
      </c>
      <c r="AC71" s="1">
        <v>21598696</v>
      </c>
      <c r="AD71" s="1">
        <v>22627658</v>
      </c>
      <c r="AE71" s="1">
        <v>22129315</v>
      </c>
      <c r="AF71" s="1">
        <v>21780017</v>
      </c>
      <c r="AG71" s="1">
        <v>20464361</v>
      </c>
      <c r="AH71" s="1">
        <v>20414417</v>
      </c>
      <c r="AI71" s="1">
        <v>20767375</v>
      </c>
      <c r="AJ71" s="1">
        <v>21937802</v>
      </c>
      <c r="AK71" s="1">
        <v>21617301</v>
      </c>
      <c r="AL71" s="1">
        <v>19190013</v>
      </c>
      <c r="AM71" s="1">
        <v>15986439</v>
      </c>
      <c r="AN71" s="1">
        <v>12006423</v>
      </c>
      <c r="AO71" s="1">
        <v>8491607</v>
      </c>
      <c r="AP71" s="1">
        <v>5983546</v>
      </c>
      <c r="AQ71" s="1">
        <v>6682848</v>
      </c>
      <c r="AR71" s="1">
        <v>158824726</v>
      </c>
      <c r="AS71" s="1">
        <v>163911494</v>
      </c>
      <c r="AT71" s="1">
        <v>198653178</v>
      </c>
      <c r="AU71" s="1">
        <v>41134991</v>
      </c>
      <c r="AV71" s="1">
        <v>1720239</v>
      </c>
      <c r="AW71" s="1">
        <v>17539352</v>
      </c>
      <c r="AX71" s="1">
        <v>435741</v>
      </c>
      <c r="AY71" s="1">
        <v>621127</v>
      </c>
      <c r="AZ71" s="1">
        <v>6932170</v>
      </c>
      <c r="BA71" s="1">
        <v>55718077</v>
      </c>
      <c r="BB71" s="1">
        <v>261677818</v>
      </c>
      <c r="BC71" s="1">
        <v>84389886</v>
      </c>
      <c r="BD71" s="1">
        <v>120359224</v>
      </c>
      <c r="BE71" s="1">
        <v>12765733</v>
      </c>
      <c r="BF71" s="1">
        <v>15638883</v>
      </c>
      <c r="BG71" s="1">
        <v>28524092</v>
      </c>
      <c r="BH71" s="1">
        <v>217451464</v>
      </c>
      <c r="BI71" s="1">
        <v>12266415</v>
      </c>
      <c r="BJ71" s="1">
        <v>16197925</v>
      </c>
      <c r="BK71" s="1">
        <v>60259234</v>
      </c>
      <c r="BL71" s="1">
        <v>45575324</v>
      </c>
      <c r="BM71" s="1">
        <v>17733674</v>
      </c>
      <c r="BN71" s="1">
        <v>40583732</v>
      </c>
      <c r="BO71" s="1">
        <v>24835160</v>
      </c>
      <c r="BP71" s="1">
        <v>257749673</v>
      </c>
      <c r="BQ71" s="1">
        <v>988108</v>
      </c>
      <c r="BR71" s="1">
        <v>154439532</v>
      </c>
      <c r="BS71" s="1">
        <v>7757300</v>
      </c>
      <c r="BT71" s="1">
        <v>94564733</v>
      </c>
      <c r="BU71" s="1">
        <v>81245453</v>
      </c>
      <c r="BV71" s="1">
        <v>42651085</v>
      </c>
      <c r="BW71" s="1">
        <v>25301173</v>
      </c>
      <c r="BX71" s="1">
        <v>3448039</v>
      </c>
      <c r="BY71" s="1">
        <v>10337926</v>
      </c>
      <c r="BZ71" s="1">
        <v>33752735</v>
      </c>
      <c r="CA71" s="1">
        <v>2628207</v>
      </c>
      <c r="CB71" s="1">
        <v>5744561</v>
      </c>
      <c r="CC71" s="2">
        <v>2.54</v>
      </c>
      <c r="CD71" s="1">
        <v>34180445</v>
      </c>
      <c r="CE71" s="1">
        <v>40590686</v>
      </c>
      <c r="CF71" s="1">
        <v>19376582</v>
      </c>
      <c r="CG71" s="1">
        <v>16192966</v>
      </c>
      <c r="CH71" s="1">
        <v>7851535</v>
      </c>
      <c r="CI71" s="1">
        <v>3215889</v>
      </c>
      <c r="CJ71" s="1">
        <v>2488435</v>
      </c>
      <c r="CK71" s="2">
        <v>51.02</v>
      </c>
      <c r="CL71" s="1">
        <v>5429956</v>
      </c>
      <c r="CM71" s="1">
        <v>19106091</v>
      </c>
      <c r="CN71" s="1">
        <v>20991187</v>
      </c>
      <c r="CO71" s="1">
        <v>23384320</v>
      </c>
      <c r="CP71" s="1">
        <v>23700959</v>
      </c>
      <c r="CQ71" s="1">
        <v>17313352</v>
      </c>
      <c r="CR71" s="1">
        <v>9561394</v>
      </c>
      <c r="CS71" s="1">
        <v>4409279</v>
      </c>
      <c r="CT71" s="1">
        <v>11036024</v>
      </c>
      <c r="CU71" s="1">
        <v>41456297</v>
      </c>
      <c r="CV71" s="1">
        <v>71404217</v>
      </c>
      <c r="CW71" s="1">
        <v>30207</v>
      </c>
      <c r="CX71" s="1">
        <v>56105</v>
      </c>
      <c r="CY71" s="1">
        <v>70234</v>
      </c>
      <c r="CZ71" s="1">
        <v>8933490</v>
      </c>
      <c r="DA71" s="1">
        <v>6215498</v>
      </c>
      <c r="DB71" s="1">
        <v>6094698</v>
      </c>
      <c r="DC71" s="1">
        <v>6423726</v>
      </c>
      <c r="DD71" s="1">
        <v>6119115</v>
      </c>
      <c r="DE71" s="1">
        <v>6038546</v>
      </c>
      <c r="DF71" s="1">
        <v>5727152</v>
      </c>
      <c r="DG71" s="1">
        <v>5370768</v>
      </c>
      <c r="DH71" s="1">
        <v>5158773</v>
      </c>
      <c r="DI71" s="1">
        <v>9607304</v>
      </c>
      <c r="DJ71" s="1">
        <v>12088608</v>
      </c>
      <c r="DK71" s="1">
        <v>15177565</v>
      </c>
      <c r="DL71" s="1">
        <v>9783823</v>
      </c>
      <c r="DM71" s="1">
        <v>6674495</v>
      </c>
      <c r="DN71" s="1">
        <v>6774577</v>
      </c>
      <c r="DO71" s="1">
        <v>7708400</v>
      </c>
      <c r="DP71" s="1">
        <v>31349</v>
      </c>
      <c r="DQ71" s="1">
        <v>53909</v>
      </c>
      <c r="DR71" s="1">
        <v>65962</v>
      </c>
      <c r="DS71" s="1">
        <v>70495</v>
      </c>
      <c r="DT71" s="1">
        <v>64051</v>
      </c>
      <c r="DU71" s="1">
        <v>50449</v>
      </c>
      <c r="DV71" s="1">
        <v>36673</v>
      </c>
      <c r="DW71" s="2">
        <v>58609.17</v>
      </c>
      <c r="DX71" s="2">
        <v>26772.71</v>
      </c>
      <c r="DY71" s="2">
        <v>2628.01</v>
      </c>
      <c r="DZ71" s="2">
        <v>443.06</v>
      </c>
      <c r="EA71" s="2">
        <v>2052.12</v>
      </c>
      <c r="EB71" s="2">
        <v>2218.98</v>
      </c>
      <c r="EC71" s="2">
        <v>3288.5</v>
      </c>
      <c r="ED71" s="2">
        <v>8558.74</v>
      </c>
      <c r="EE71" s="2">
        <v>4653.04</v>
      </c>
      <c r="EF71" s="2">
        <v>2019.92</v>
      </c>
      <c r="EG71" s="2">
        <v>12109.04</v>
      </c>
      <c r="EH71" s="2">
        <v>1697.68</v>
      </c>
      <c r="EI71" s="2">
        <v>857.35</v>
      </c>
      <c r="EJ71" s="2">
        <v>759.24</v>
      </c>
      <c r="EK71" s="2">
        <v>130.1</v>
      </c>
      <c r="EL71" s="2">
        <v>352.14</v>
      </c>
      <c r="EM71" s="2">
        <v>10998.71</v>
      </c>
      <c r="EN71" s="2">
        <v>4364.37</v>
      </c>
      <c r="EO71" s="2">
        <v>1478.17</v>
      </c>
      <c r="EP71" s="1">
        <v>38176</v>
      </c>
      <c r="EQ71" s="1">
        <v>5249</v>
      </c>
      <c r="ER71" s="1">
        <v>697</v>
      </c>
      <c r="ES71" s="1">
        <v>9384</v>
      </c>
      <c r="ET71" s="1">
        <v>46708</v>
      </c>
      <c r="EU71" s="1">
        <v>43775</v>
      </c>
      <c r="EV71" s="1">
        <v>113922</v>
      </c>
      <c r="EW71" s="1">
        <v>7546</v>
      </c>
      <c r="EX71" s="1">
        <v>22201</v>
      </c>
      <c r="EY71" s="1">
        <v>4142</v>
      </c>
      <c r="EZ71" s="1">
        <v>291848</v>
      </c>
      <c r="FA71" s="1">
        <v>20716</v>
      </c>
      <c r="FB71" s="1">
        <v>187908</v>
      </c>
      <c r="FC71" s="1">
        <v>47936</v>
      </c>
      <c r="FD71" s="1">
        <v>21862</v>
      </c>
      <c r="FE71" s="1">
        <v>132019</v>
      </c>
      <c r="FF71" s="1">
        <v>5952</v>
      </c>
      <c r="FG71" s="1">
        <v>416413</v>
      </c>
      <c r="FH71" s="1">
        <v>72234</v>
      </c>
      <c r="FI71" s="1">
        <v>12542</v>
      </c>
      <c r="FJ71" s="1">
        <v>764</v>
      </c>
      <c r="FK71" s="1">
        <v>2286</v>
      </c>
      <c r="FL71" s="1">
        <v>9281</v>
      </c>
      <c r="FM71" s="1">
        <v>1081</v>
      </c>
      <c r="FN71" s="1">
        <v>100693</v>
      </c>
      <c r="FO71" s="1">
        <v>607542</v>
      </c>
      <c r="FP71" s="1">
        <v>100</v>
      </c>
      <c r="FQ71" s="1">
        <v>100</v>
      </c>
      <c r="FR71" s="1">
        <v>100</v>
      </c>
      <c r="FS71" s="1">
        <v>100</v>
      </c>
      <c r="FT71" s="1">
        <v>100</v>
      </c>
      <c r="FU71" s="1">
        <v>100</v>
      </c>
      <c r="FV71" s="1">
        <v>100</v>
      </c>
      <c r="FW71" s="1">
        <v>100</v>
      </c>
      <c r="FX71" s="1">
        <v>100</v>
      </c>
      <c r="FY71" s="1">
        <v>100</v>
      </c>
      <c r="FZ71" s="3">
        <v>3.9E-2</v>
      </c>
      <c r="GA71" s="3">
        <v>7.1999999999999995E-2</v>
      </c>
      <c r="GB71" s="3">
        <v>-9.5000000000000001E-2</v>
      </c>
      <c r="GC71" s="3">
        <v>6.6000000000000003E-2</v>
      </c>
      <c r="GD71" s="3">
        <v>7.9000000000000001E-2</v>
      </c>
      <c r="GE71" s="3">
        <v>1.7000000000000001E-2</v>
      </c>
      <c r="GF71" s="3">
        <v>6.3E-2</v>
      </c>
      <c r="GG71" s="3">
        <v>7.0000000000000001E-3</v>
      </c>
      <c r="GH71" s="3">
        <v>0.14599999999999999</v>
      </c>
      <c r="GI71" s="3">
        <v>4.0000000000000001E-3</v>
      </c>
      <c r="GJ71" s="3">
        <v>-4.1000000000000002E-2</v>
      </c>
      <c r="GK71" s="3">
        <v>-6.5000000000000002E-2</v>
      </c>
      <c r="GL71" s="3">
        <v>0.192</v>
      </c>
      <c r="GM71" s="3">
        <v>-1.0999999999999999E-2</v>
      </c>
      <c r="GN71" s="3">
        <v>3.5999999999999997E-2</v>
      </c>
      <c r="GO71" s="3">
        <v>0.04</v>
      </c>
      <c r="GP71" s="3">
        <v>-6.0000000000000001E-3</v>
      </c>
      <c r="GQ71" s="3">
        <v>2.4E-2</v>
      </c>
      <c r="GR71" s="3">
        <v>-5.0000000000000001E-3</v>
      </c>
      <c r="GS71" s="3">
        <v>-1.7999999999999999E-2</v>
      </c>
      <c r="GT71" s="3">
        <v>-3.6999999999999998E-2</v>
      </c>
      <c r="GU71" s="3">
        <v>-4.3999999999999997E-2</v>
      </c>
      <c r="GV71" s="3">
        <v>-1.2999999999999999E-2</v>
      </c>
      <c r="GW71" s="3">
        <v>4.0000000000000001E-3</v>
      </c>
      <c r="GX71" s="3">
        <v>1.6E-2</v>
      </c>
      <c r="GY71" s="3">
        <v>8.0000000000000002E-3</v>
      </c>
      <c r="GZ71" s="4">
        <v>100</v>
      </c>
      <c r="HA71" s="4">
        <v>100</v>
      </c>
      <c r="HB71" s="4">
        <v>100</v>
      </c>
      <c r="HC71" s="4">
        <v>100</v>
      </c>
      <c r="HD71" s="4">
        <v>102</v>
      </c>
      <c r="HE71" s="4">
        <v>99</v>
      </c>
      <c r="HF71" s="1">
        <v>1066273</v>
      </c>
      <c r="HG71" s="1">
        <v>768960</v>
      </c>
      <c r="HH71" s="1">
        <v>690925</v>
      </c>
      <c r="HI71" s="1">
        <v>689149</v>
      </c>
      <c r="HJ71" s="1">
        <v>623983</v>
      </c>
      <c r="HK71" s="1">
        <v>746514</v>
      </c>
      <c r="HL71" s="1">
        <v>526036</v>
      </c>
      <c r="HM71" s="1">
        <v>1434338</v>
      </c>
      <c r="HN71" s="1">
        <v>1739918</v>
      </c>
      <c r="HO71" s="1">
        <v>2003511</v>
      </c>
      <c r="HP71" s="1">
        <v>2395774</v>
      </c>
      <c r="HQ71" s="1">
        <v>2837805</v>
      </c>
      <c r="HR71" s="1">
        <v>2574302</v>
      </c>
      <c r="HS71" s="1">
        <v>6495359</v>
      </c>
      <c r="HT71" s="1">
        <v>5682026</v>
      </c>
      <c r="HU71" s="1">
        <v>6829409</v>
      </c>
      <c r="HV71" s="1">
        <v>4715784</v>
      </c>
      <c r="HW71" s="1">
        <v>8062061</v>
      </c>
      <c r="HX71" s="1">
        <v>6086632</v>
      </c>
      <c r="HY71" s="1">
        <v>7862444</v>
      </c>
      <c r="HZ71" s="1">
        <v>4218785</v>
      </c>
      <c r="IA71" s="1">
        <v>4688608</v>
      </c>
      <c r="IB71" s="1">
        <v>1665455</v>
      </c>
      <c r="IC71" s="1">
        <v>1582023</v>
      </c>
      <c r="ID71" s="1">
        <v>179711</v>
      </c>
      <c r="IE71" s="1">
        <v>521910</v>
      </c>
      <c r="IF71" s="1">
        <v>521584</v>
      </c>
      <c r="IG71" s="1">
        <v>689796</v>
      </c>
      <c r="IH71" s="1">
        <v>855747</v>
      </c>
      <c r="II71" s="1">
        <v>779524</v>
      </c>
      <c r="IJ71" s="1">
        <v>1130965</v>
      </c>
      <c r="IK71" s="1">
        <v>1363629</v>
      </c>
      <c r="IL71" s="1">
        <v>1850203</v>
      </c>
      <c r="IM71" s="1">
        <v>1945331</v>
      </c>
      <c r="IN71" s="1">
        <v>2350003</v>
      </c>
      <c r="IO71" s="1">
        <v>2145504</v>
      </c>
      <c r="IP71" s="1">
        <v>2354314</v>
      </c>
      <c r="IQ71" s="1">
        <v>2227097</v>
      </c>
      <c r="IR71" s="1">
        <v>2026247</v>
      </c>
      <c r="IS71" s="1">
        <v>1837777</v>
      </c>
      <c r="IT71" s="1">
        <v>3386106</v>
      </c>
      <c r="IU71" s="1">
        <v>2510978</v>
      </c>
      <c r="IV71">
        <v>4308791</v>
      </c>
      <c r="IW71">
        <v>2215611</v>
      </c>
      <c r="IX71">
        <v>2211704</v>
      </c>
      <c r="IY71">
        <v>1262199</v>
      </c>
      <c r="IZ71">
        <v>2235198</v>
      </c>
      <c r="JA71">
        <v>712</v>
      </c>
      <c r="JB71">
        <v>62273873</v>
      </c>
      <c r="JC71">
        <v>4466597</v>
      </c>
      <c r="JD71">
        <v>953025</v>
      </c>
      <c r="JE71">
        <v>652189</v>
      </c>
      <c r="JF71">
        <v>586823</v>
      </c>
      <c r="JG71">
        <v>463352</v>
      </c>
      <c r="JH71">
        <v>501132</v>
      </c>
      <c r="JI71">
        <v>882083</v>
      </c>
      <c r="JJ71">
        <v>5130094</v>
      </c>
      <c r="JK71">
        <v>76906</v>
      </c>
      <c r="JL71">
        <v>11168294</v>
      </c>
      <c r="JM71">
        <v>2472381</v>
      </c>
      <c r="JN71">
        <v>3322506</v>
      </c>
      <c r="JO71">
        <v>4320644</v>
      </c>
      <c r="JP71">
        <v>4794036</v>
      </c>
      <c r="JQ71">
        <v>4496688</v>
      </c>
      <c r="JR71">
        <v>3501808</v>
      </c>
      <c r="JS71">
        <v>4727151</v>
      </c>
      <c r="JT71">
        <v>1890919</v>
      </c>
      <c r="JU71">
        <v>35791</v>
      </c>
      <c r="JV71">
        <v>7893229</v>
      </c>
      <c r="JW71">
        <v>9401885</v>
      </c>
      <c r="JX71">
        <v>16514145</v>
      </c>
      <c r="JY71">
        <v>16232452</v>
      </c>
      <c r="JZ71">
        <v>18656108</v>
      </c>
      <c r="KA71">
        <v>13132670</v>
      </c>
      <c r="KB71">
        <v>13057719</v>
      </c>
      <c r="KC71">
        <v>6421795</v>
      </c>
      <c r="KD71">
        <v>15406289</v>
      </c>
      <c r="KE71">
        <v>1936971</v>
      </c>
      <c r="KF71">
        <v>703866</v>
      </c>
      <c r="KG71">
        <v>8667603</v>
      </c>
      <c r="KH71">
        <v>14410987</v>
      </c>
      <c r="KI71">
        <v>3932432</v>
      </c>
      <c r="KJ71">
        <v>16166329</v>
      </c>
      <c r="KK71">
        <v>5617273</v>
      </c>
      <c r="KL71">
        <v>1211495</v>
      </c>
      <c r="KM71">
        <v>3008506</v>
      </c>
      <c r="KN71">
        <v>6617834</v>
      </c>
      <c r="KO71">
        <v>2635923</v>
      </c>
      <c r="KP71">
        <v>8832568</v>
      </c>
      <c r="KQ71">
        <v>101237</v>
      </c>
      <c r="KR71">
        <v>5741445</v>
      </c>
      <c r="KS71">
        <v>13265652</v>
      </c>
      <c r="KT71">
        <v>18969526</v>
      </c>
      <c r="KU71">
        <v>2944842</v>
      </c>
      <c r="KV71">
        <v>9884532</v>
      </c>
      <c r="KW71">
        <v>6897324</v>
      </c>
      <c r="KX71">
        <v>7169898</v>
      </c>
      <c r="KY71">
        <v>92443140</v>
      </c>
      <c r="KZ71">
        <v>4947436</v>
      </c>
      <c r="LA71">
        <v>11188005</v>
      </c>
      <c r="LB71">
        <v>10842944</v>
      </c>
      <c r="LC71">
        <v>6430283</v>
      </c>
      <c r="LD71">
        <v>3967234</v>
      </c>
      <c r="LE71">
        <v>8720459</v>
      </c>
      <c r="LF71">
        <v>176742</v>
      </c>
      <c r="LG71">
        <v>93117242</v>
      </c>
      <c r="LH71">
        <v>3315109</v>
      </c>
      <c r="LI71">
        <v>10083973</v>
      </c>
      <c r="LJ71">
        <v>864272</v>
      </c>
      <c r="LK71">
        <v>4479909</v>
      </c>
      <c r="LL71">
        <v>1008723</v>
      </c>
      <c r="LM71">
        <v>2737605</v>
      </c>
      <c r="LN71">
        <v>186449</v>
      </c>
      <c r="LO71">
        <v>923010</v>
      </c>
      <c r="LP71">
        <v>3531905.5</v>
      </c>
      <c r="LQ71">
        <f>F71/LP71</f>
        <v>91.377365560884911</v>
      </c>
    </row>
  </sheetData>
  <sheetProtection algorithmName="SHA-512" hashValue="E0cc87lpOADbE/PAwNzRKh3olzrAYPWzVP99B1FJe56EFnNam0vHP0HeRsHtSegPfLM9lAIwGa41WkTH7kFrqQ==" saltValue="+EOpTZslOfsIB1emgxDdbA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Panorama Demographics</vt:lpstr>
      <vt:lpstr>US_Totals</vt:lpstr>
      <vt:lpstr>Raw Data</vt:lpstr>
      <vt:lpstr>'Panorama Demographics'!Print_Area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Menger</dc:creator>
  <cp:lastModifiedBy>Gary Menger</cp:lastModifiedBy>
  <cp:lastPrinted>2019-06-04T21:11:06Z</cp:lastPrinted>
  <dcterms:created xsi:type="dcterms:W3CDTF">2015-11-12T20:17:57Z</dcterms:created>
  <dcterms:modified xsi:type="dcterms:W3CDTF">2019-06-04T21:14:19Z</dcterms:modified>
</cp:coreProperties>
</file>